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zY1ealPTvdLJ4iVXXX5iJC5hz6rGcApwiFIJz3yqv6HGWtp7LA5UPx8tagucWVhLHX6wG1bX14FceJfzjwHs8A==" workbookSaltValue="HvDD+xDYYSyEcX1Gzba6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B9" i="6"/>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9" i="11"/>
  <c r="Q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G19" i="7"/>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<sst xmlns="http://schemas.openxmlformats.org/spreadsheetml/2006/main" count="2102" uniqueCount="918">
  <si>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</si>
  <si>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</si>
  <si>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</si>
  <si>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</si>
  <si>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</si>
  <si>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</si>
  <si>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</si>
  <si>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</si>
  <si>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</si>
  <si>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</si>
  <si>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</si>
  <si>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</si>
  <si>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</si>
  <si>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</si>
  <si>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</si>
  <si>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</si>
  <si>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</si>
  <si>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</si>
  <si>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</si>
  <si>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</si>
  <si>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</si>
  <si>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</si>
  <si>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</si>
  <si>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</si>
  <si>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</si>
  <si>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</si>
  <si>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</si>
  <si>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</si>
  <si>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</si>
  <si>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</si>
  <si>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</si>
  <si>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</si>
  <si>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</si>
  <si>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</si>
  <si>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</si>
  <si>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</si>
  <si>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</si>
  <si>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</si>
  <si>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</si>
  <si>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</si>
  <si>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</si>
  <si>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</si>
  <si>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</si>
  <si>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</si>
  <si>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</si>
  <si>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</si>
  <si>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</si>
  <si>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</si>
  <si>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</si>
  <si>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</si>
  <si>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</si>
  <si>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</si>
  <si>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</si>
  <si>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</si>
  <si>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</si>
  <si>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</si>
  <si>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</si>
  <si>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</si>
  <si>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</si>
  <si>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</si>
  <si>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</si>
  <si>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</si>
  <si>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</si>
  <si>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</si>
  <si>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</si>
  <si>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</si>
  <si>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</si>
  <si>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</si>
  <si>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</si>
  <si>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</si>
  <si>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</si>
  <si>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</si>
  <si>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</si>
  <si>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</si>
  <si>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</si>
  <si>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</si>
  <si>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</si>
  <si>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</si>
  <si>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</si>
  <si>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</si>
  <si>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</si>
  <si>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</si>
  <si>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</si>
  <si>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</si>
  <si>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</si>
  <si>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</si>
  <si>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</si>
  <si>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</si>
  <si>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</si>
  <si>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</si>
  <si>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</si>
  <si>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</si>
  <si>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</si>
  <si>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</si>
  <si>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</si>
  <si>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</si>
  <si>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</si>
  <si>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</si>
  <si>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</si>
  <si>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</si>
  <si>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</si>
  <si>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</si>
  <si>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</si>
  <si>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</si>
  <si>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</si>
  <si>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</si>
  <si>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</si>
  <si>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</si>
  <si>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</si>
  <si>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</si>
  <si>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</si>
  <si>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</si>
  <si>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</si>
  <si>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</si>
  <si>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</si>
  <si>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</si>
  <si>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</si>
  <si>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</si>
  <si>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</si>
  <si>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</si>
  <si>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</si>
  <si>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</si>
  <si>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</si>
  <si>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</si>
  <si>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</si>
  <si>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</si>
  <si>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</si>
  <si>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</si>
  <si>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</si>
  <si>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</si>
  <si>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</si>
  <si>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</si>
  <si>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</si>
  <si>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</si>
  <si>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</si>
  <si>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</si>
  <si>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</si>
  <si>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</si>
  <si>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</si>
  <si>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</si>
  <si>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</si>
  <si>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</si>
  <si>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</si>
  <si>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</si>
  <si>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</si>
  <si>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</si>
  <si>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</si>
  <si>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</si>
  <si>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</si>
  <si>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</si>
  <si>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</si>
  <si>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</si>
  <si>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</si>
  <si>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</si>
  <si>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</si>
  <si>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</si>
  <si>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</si>
  <si>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</si>
  <si>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</si>
  <si>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</si>
  <si>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</si>
  <si>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</si>
  <si>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</si>
  <si>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</si>
  <si>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</si>
  <si>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</si>
  <si>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</si>
  <si>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</si>
  <si>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</si>
  <si>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</si>
  <si>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</si>
  <si>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</si>
  <si>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</si>
  <si>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</si>
  <si>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</si>
  <si>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</si>
  <si>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</si>
  <si>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</si>
  <si>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</si>
  <si>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</si>
  <si>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</si>
  <si>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</si>
  <si>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</si>
  <si>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</si>
  <si>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</si>
  <si>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</si>
  <si>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</si>
  <si>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</si>
  <si>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</si>
  <si>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</si>
  <si>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</si>
  <si>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</si>
  <si>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</si>
  <si>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</si>
  <si>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</si>
  <si>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</si>
  <si>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</si>
  <si>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</si>
  <si>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</si>
  <si>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</si>
  <si>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</si>
  <si>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</si>
  <si>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</si>
  <si>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</si>
  <si>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</si>
  <si>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</si>
  <si>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</si>
  <si>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</si>
  <si>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</si>
  <si>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</si>
  <si>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</si>
  <si>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</si>
  <si>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</si>
  <si>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</si>
  <si>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</si>
  <si>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</si>
  <si>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</si>
  <si>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</si>
  <si>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</si>
  <si>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</si>
  <si>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</si>
  <si>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</si>
  <si>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</si>
  <si>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</si>
  <si>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</si>
  <si>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</si>
  <si>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</si>
  <si>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</si>
  <si>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</si>
  <si>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</si>
  <si>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</si>
  <si>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</si>
  <si>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</si>
  <si>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</si>
  <si>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</si>
  <si>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</si>
  <si>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</si>
  <si>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</si>
  <si>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</si>
  <si>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</si>
  <si>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</si>
  <si>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</si>
  <si>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</si>
  <si>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</si>
  <si>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</si>
  <si>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</si>
  <si>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</si>
  <si>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</si>
  <si>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</si>
  <si>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</si>
  <si>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</si>
  <si>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</si>
  <si>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</si>
  <si>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</si>
  <si>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</si>
  <si>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</si>
  <si>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</si>
  <si>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</si>
  <si>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</si>
  <si>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</si>
  <si>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</si>
  <si>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</si>
  <si>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</si>
  <si>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</si>
  <si>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</si>
  <si>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</si>
  <si>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</si>
  <si>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</si>
  <si>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</si>
  <si>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</si>
  <si>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</si>
  <si>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</si>
  <si>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</si>
  <si>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</si>
  <si>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</si>
  <si>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</si>
  <si>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</si>
  <si>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</si>
  <si>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</si>
  <si>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</si>
  <si>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</si>
  <si>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</si>
  <si>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</si>
  <si>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</si>
  <si>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</si>
  <si>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</si>
  <si>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</si>
  <si>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</si>
  <si>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</si>
  <si>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</si>
  <si>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</si>
  <si>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</si>
  <si>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</si>
  <si>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</si>
  <si>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</si>
  <si>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</si>
  <si>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</si>
  <si>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</si>
  <si>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</si>
  <si>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</si>
  <si>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</si>
  <si>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</si>
  <si>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</si>
  <si>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</si>
  <si>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</si>
  <si>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</si>
  <si>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</si>
  <si>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</si>
  <si>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</si>
  <si>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</si>
  <si>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</si>
  <si>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</si>
  <si>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</si>
  <si>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</si>
  <si>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</si>
  <si>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</si>
  <si>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</si>
  <si>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</si>
  <si>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</si>
  <si>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</si>
  <si>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</si>
  <si>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</si>
  <si>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</si>
  <si>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</si>
  <si>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</si>
  <si>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</si>
  <si>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</si>
  <si>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</si>
  <si>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</si>
  <si>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</si>
  <si>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</si>
  <si>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</si>
  <si>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</si>
  <si>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</si>
  <si>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</si>
  <si>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</si>
  <si>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</si>
  <si>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</si>
  <si>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</si>
  <si>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</si>
  <si>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</si>
  <si>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</si>
  <si>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</si>
  <si>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</si>
  <si>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</si>
  <si>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</si>
  <si>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</si>
  <si>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</si>
  <si>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</si>
  <si>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</si>
  <si>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</si>
  <si>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</si>
  <si>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</si>
  <si>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</si>
  <si>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</si>
  <si>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</si>
  <si>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</si>
  <si>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</si>
  <si>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</si>
  <si>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</si>
  <si>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</si>
  <si>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</si>
  <si>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</si>
  <si>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</si>
  <si>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</si>
  <si>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</si>
  <si>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</si>
  <si>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</si>
  <si>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</si>
  <si>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</si>
  <si>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</si>
  <si>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</si>
  <si>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</si>
  <si>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</si>
  <si>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</si>
  <si>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</si>
  <si>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</si>
  <si>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</si>
  <si>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</si>
  <si>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</si>
  <si>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</si>
  <si>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</si>
  <si>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</si>
  <si>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</si>
  <si>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</si>
  <si>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</si>
  <si>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</si>
  <si>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</si>
  <si>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</si>
  <si>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</si>
  <si>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</si>
  <si>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</si>
  <si>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</si>
  <si>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</si>
  <si>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</si>
  <si>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</si>
  <si>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</si>
  <si>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</si>
  <si>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</si>
  <si>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</si>
  <si>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</si>
  <si>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</si>
  <si>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</si>
  <si>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</si>
  <si>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</si>
  <si>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</si>
  <si>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</si>
  <si>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</si>
  <si>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</si>
  <si>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</si>
  <si>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</si>
  <si>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</si>
  <si>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</si>
  <si>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</si>
  <si>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</si>
  <si>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</si>
  <si>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</si>
  <si>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</si>
  <si>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</si>
  <si>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</si>
  <si>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</si>
  <si>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</si>
  <si>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</si>
  <si>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</si>
  <si>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</si>
  <si>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</si>
  <si>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</si>
  <si>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</si>
  <si>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</si>
  <si>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</si>
  <si>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</si>
  <si>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</si>
  <si>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</si>
  <si>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</si>
  <si>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</si>
  <si>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</si>
  <si>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</si>
  <si>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</si>
  <si>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</si>
  <si>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</si>
  <si>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</si>
  <si>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</si>
  <si>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</si>
  <si>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</si>
  <si>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</si>
  <si>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</si>
  <si>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</si>
  <si>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</si>
  <si>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</si>
  <si>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</si>
  <si>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</si>
  <si>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</si>
  <si>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</si>
  <si>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</si>
  <si>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</si>
  <si>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</si>
  <si>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</si>
  <si>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</si>
  <si>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</si>
  <si>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</si>
  <si>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</si>
  <si>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</si>
  <si>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</si>
  <si>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</si>
  <si>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</si>
  <si>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</si>
  <si>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</si>
  <si>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</si>
  <si>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</si>
  <si>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</si>
  <si>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</si>
  <si>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</si>
  <si>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</si>
  <si>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</si>
  <si>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</si>
  <si>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</si>
  <si>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</si>
  <si>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</si>
  <si>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</si>
  <si>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</si>
  <si>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</si>
  <si>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</si>
  <si>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</si>
  <si>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</si>
  <si>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</si>
  <si>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</si>
  <si>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</si>
  <si>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</si>
  <si>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</si>
  <si>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</si>
  <si>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</si>
  <si>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</si>
  <si>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</si>
  <si>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</si>
  <si>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</si>
  <si>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</si>
  <si>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</si>
  <si>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</si>
  <si>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</si>
  <si>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</si>
  <si>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</si>
  <si>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</si>
  <si>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</si>
  <si>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</si>
  <si>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</si>
  <si>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</si>
  <si>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</si>
  <si>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</si>
  <si>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</si>
  <si>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</si>
  <si>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</si>
  <si>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</si>
  <si>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</si>
  <si>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</si>
  <si>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</si>
  <si>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</si>
  <si>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</si>
  <si>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</si>
  <si>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</si>
  <si>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</si>
  <si>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</si>
  <si>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</si>
  <si>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</si>
  <si>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</si>
  <si>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</si>
  <si>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</si>
  <si>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</si>
  <si>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</si>
  <si>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</si>
  <si>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</si>
  <si>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</si>
  <si>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</si>
  <si>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</si>
  <si>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</si>
  <si>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</si>
  <si>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</si>
  <si>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</si>
  <si>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</si>
  <si>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</si>
  <si>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</si>
  <si>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</si>
  <si>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</si>
  <si>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</si>
  <si>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</si>
  <si>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</si>
  <si>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</si>
  <si>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</si>
  <si>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</si>
  <si>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</si>
  <si>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</si>
  <si>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</si>
  <si>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</si>
  <si>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</si>
  <si>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</si>
  <si>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</si>
  <si>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</si>
  <si>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</si>
  <si>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</si>
  <si>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</si>
  <si>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</si>
  <si>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</si>
  <si>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</si>
  <si>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</si>
  <si>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</si>
  <si>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</si>
  <si>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</si>
  <si>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</si>
  <si>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</si>
  <si>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</si>
  <si>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</si>
  <si>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</si>
  <si>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</si>
  <si>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</si>
  <si>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</si>
  <si>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</si>
  <si>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</si>
  <si>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</si>
  <si>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</si>
  <si>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</si>
  <si>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</si>
  <si>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</si>
  <si>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</si>
  <si>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</si>
  <si>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</si>
  <si>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</si>
  <si>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</si>
  <si>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</si>
  <si>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</si>
  <si>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</si>
  <si>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</si>
  <si>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</si>
  <si>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</si>
  <si>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</si>
  <si>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</si>
  <si>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</si>
  <si>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</si>
  <si>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</si>
  <si>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</si>
  <si>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</si>
  <si>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</si>
  <si>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</si>
  <si>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</si>
  <si>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</si>
  <si>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</si>
  <si>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</si>
  <si>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</si>
  <si>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</si>
  <si>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</si>
  <si>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</si>
  <si>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</si>
  <si>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</si>
  <si>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</si>
  <si>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</si>
  <si>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</si>
  <si>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</si>
  <si>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</si>
  <si>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</si>
  <si>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</si>
  <si>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</si>
  <si>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</si>
  <si>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</si>
  <si>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</si>
  <si>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</si>
  <si>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</si>
  <si>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</si>
  <si>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</si>
  <si>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</si>
  <si>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</si>
  <si>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</si>
  <si>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</si>
  <si>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</si>
  <si>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</si>
  <si>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</si>
  <si>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</si>
  <si>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</si>
  <si>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</si>
  <si>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</si>
  <si>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</si>
  <si>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</si>
  <si>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</si>
  <si>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</si>
  <si>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</si>
  <si>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</si>
  <si>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</si>
  <si>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</si>
  <si>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</si>
  <si>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</si>
  <si>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</si>
  <si>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</si>
  <si>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</si>
  <si>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</si>
  <si>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</si>
  <si>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</si>
  <si>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</si>
  <si>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</si>
  <si>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</si>
  <si>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</si>
  <si>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</si>
  <si>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</si>
  <si>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</si>
  <si>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</si>
  <si>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</si>
  <si>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</si>
  <si>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</si>
  <si>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</si>
  <si>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</si>
  <si>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</si>
  <si>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</si>
  <si>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</si>
  <si>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</si>
  <si>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</si>
  <si>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</si>
  <si>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</si>
  <si>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</si>
  <si>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</si>
  <si>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</si>
  <si>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</si>
  <si>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</si>
  <si>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</si>
  <si>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</si>
  <si>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</si>
  <si>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</si>
  <si>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</si>
  <si>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</si>
  <si>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</si>
  <si>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</si>
  <si>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</si>
  <si>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</si>
  <si>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</si>
  <si>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</si>
  <si>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</si>
  <si>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</si>
  <si>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</si>
  <si>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</si>
  <si>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</si>
  <si>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</si>
  <si>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</si>
  <si>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</si>
  <si>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</si>
  <si>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</si>
  <si>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</si>
  <si>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</si>
  <si>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</si>
  <si>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</si>
  <si>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</si>
  <si>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</si>
  <si>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</si>
  <si>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</si>
  <si>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</si>
  <si>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</si>
  <si>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</si>
  <si>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</si>
  <si>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</si>
  <si>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</si>
  <si>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</si>
  <si>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</si>
  <si>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</si>
  <si>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</si>
  <si>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</si>
  <si>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</si>
  <si>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</si>
  <si>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</si>
  <si>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</si>
  <si>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</si>
  <si>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</si>
  <si>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</si>
  <si>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</si>
  <si>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</si>
  <si>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</si>
  <si>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</si>
  <si>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</si>
  <si>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</si>
  <si>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</si>
  <si>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</si>
  <si>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</si>
  <si>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</si>
  <si>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</si>
  <si>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</si>
  <si>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</si>
  <si>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</si>
  <si>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</si>
  <si>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</si>
  <si>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</si>
  <si>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</si>
  <si>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</si>
  <si>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</si>
  <si>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</si>
  <si>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</si>
  <si>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</si>
  <si>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</si>
  <si>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</si>
  <si>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</si>
  <si>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</si>
  <si>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</si>
  <si>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</si>
  <si>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</si>
  <si>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</si>
  <si>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</si>
  <si>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</si>
  <si>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</si>
  <si>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</si>
  <si>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</si>
  <si>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</si>
  <si>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</si>
  <si>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</si>
  <si>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</si>
  <si>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</si>
  <si>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</si>
  <si>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</si>
  <si>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</si>
  <si>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</si>
  <si>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</si>
  <si>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</si>
  <si>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</si>
  <si>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</si>
  <si>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</si>
  <si>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</si>
  <si>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</si>
  <si>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</si>
  <si>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</si>
  <si>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</si>
  <si>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</si>
  <si>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</si>
  <si>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</si>
  <si>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</si>
  <si>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</si>
  <si>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</si>
  <si>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</si>
  <si>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</si>
  <si>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</si>
  <si>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</si>
  <si>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</si>
  <si>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</si>
  <si>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</si>
  <si>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</si>
  <si>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</si>
  <si>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</si>
  <si>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</si>
  <si>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</si>
  <si>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</si>
  <si>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</si>
  <si>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</si>
  <si>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</si>
  <si>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</si>
  <si>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</si>
  <si>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</si>
  <si>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</si>
  <si>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</si>
  <si>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</si>
  <si>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</si>
  <si>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</si>
  <si>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</si>
  <si>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</si>
  <si>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</si>
  <si>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</si>
  <si>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</si>
  <si>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</si>
  <si>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</si>
  <si>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</si>
  <si>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</si>
  <si>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</si>
  <si>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</si>
  <si>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</si>
  <si>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</si>
  <si>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</si>
  <si>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</si>
  <si>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</si>
  <si>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</si>
  <si>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</si>
  <si>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</si>
  <si>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</si>
  <si>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</si>
  <si>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</si>
  <si>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</si>
  <si>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</si>
  <si>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</si>
  <si>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</si>
  <si>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</si>
  <si>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</si>
  <si>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</si>
  <si>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</si>
  <si>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</si>
  <si>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</si>
  <si>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</si>
  <si>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</si>
  <si>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</si>
  <si>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</si>
  <si>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</si>
  <si>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</si>
  <si>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</si>
  <si>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</si>
  <si>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</si>
  <si>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</si>
  <si>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</si>
  <si>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</si>
  <si>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</si>
  <si>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</si>
  <si>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</si>
  <si>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</si>
  <si>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</si>
  <si>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</si>
  <si>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</si>
  <si>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</si>
  <si>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</si>
  <si>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</si>
  <si>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</si>
  <si>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</si>
  <si>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</si>
  <si>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</si>
  <si>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</si>
  <si>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</si>
  <si>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</si>
  <si>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</si>
  <si>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</si>
  <si>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</si>
  <si>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</si>
  <si>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</si>
  <si>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</si>
  <si>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</si>
  <si>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</si>
  <si>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</si>
  <si>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</si>
  <si>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</si>
  <si>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</si>
  <si>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</si>
  <si>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</si>
  <si>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</si>
  <si>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</si>
  <si>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</si>
  <si>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</si>
  <si>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</si>
  <si>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</si>
  <si>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</si>
  <si>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</si>
  <si>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</si>
  <si>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</si>
  <si>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</si>
  <si>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</si>
  <si>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</si>
  <si>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</si>
  <si>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</si>
  <si>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</si>
  <si>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</si>
  <si>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</si>
  <si>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</si>
  <si>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</si>
  <si>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</si>
  <si>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</si>
  <si>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</si>
  <si>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</si>
  <si>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</si>
  <si>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</si>
  <si>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</si>
  <si>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</si>
  <si>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</si>
  <si>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CACERES</t>
  </si>
  <si>
    <t>Resumenes por Partidos Judiciales</t>
  </si>
  <si>
    <t>CORIA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</si>
</sst>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VzdDVoAXj2lm856mSstabZdlU05eXne4JhBe+36lAQiniW+t24cw76hdo+VosUpx+NDRfbsR3Xw9qwijdjF4w==" saltValue="AzeprS90rEXBZ1CY8ygp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1</v>
      </c>
      <c r="F10" s="226">
        <f>IF(ISNUMBER(Datos!K10),Datos!K10," - ")</f>
        <v>7</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-0.75</v>
      </c>
      <c r="L10" s="1025">
        <f>IF(ISNUMBER(NºAsuntos!I10/NºAsuntos!G10),(NºAsuntos!I10/NºAsuntos!G10)*11," - ")</f>
        <v>3.1428571428571428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15.998015873015872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1</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403</v>
      </c>
      <c r="D16" s="225">
        <f>IF(ISNUMBER(IF(D_I="SI",Datos!I16,Datos!I16+Datos!AC16)),IF(D_I="SI",Datos!I16,Datos!I16+Datos!AC16)," - ")</f>
        <v>395</v>
      </c>
      <c r="E16" s="226">
        <f>IF(ISNUMBER(IF(D_I="SI",Datos!J16,Datos!J16+Datos!AD16)),IF(D_I="SI",Datos!J16,Datos!J16+Datos!AD16)," - ")</f>
        <v>308</v>
      </c>
      <c r="F16" s="226">
        <f>IF(ISNUMBER(IF(D_I="SI",Datos!K16,Datos!K16+Datos!AE16)),IF(D_I="SI",Datos!K16,Datos!K16+Datos!AE16)," - ")</f>
        <v>337</v>
      </c>
      <c r="G16" s="1034" t="str">
        <f>IF(Datos!E16&lt;&gt;"",Datos!E16,Datos!D16)</f>
        <v>04</v>
      </c>
      <c r="H16" s="227">
        <f>IF(ISNUMBER(IF(D_I="SI",Datos!L16,Datos!L16+Datos!AF16)),IF(D_I="SI",Datos!L16,Datos!L16+Datos!AF16)," - ")</f>
        <v>374</v>
      </c>
      <c r="I16" s="1044" t="str">
        <f>IF(ISNUMBER(Datos!AS16/Datos!BM16),Datos!AS16/Datos!BM16," - ")</f>
        <v xml:space="preserve"> - </v>
      </c>
      <c r="J16" s="1045">
        <f>IF(ISNUMBER(Datos!BY16/Datos!CN16),Datos!BY16/Datos!CN16," - ")</f>
        <v>0</v>
      </c>
      <c r="K16" s="230">
        <f t="shared" si="3"/>
        <v>-7.1960297766749379E-2</v>
      </c>
      <c r="L16" s="1025">
        <f>IF(ISNUMBER(NºAsuntos!I16/NºAsuntos!G16),(NºAsuntos!I16/NºAsuntos!G16)*11," - ")</f>
        <v>12.207715133531156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v>
      </c>
      <c r="D17" s="225">
        <f>IF(ISNUMBER(IF(D_I="SI",Datos!I17,Datos!I17+Datos!AC17)),IF(D_I="SI",Datos!I17,Datos!I17+Datos!AC17)," - ")</f>
        <v>41</v>
      </c>
      <c r="E17" s="226">
        <f>IF(ISNUMBER(IF(D_I="SI",Datos!J17,Datos!J17+Datos!AD17)),IF(D_I="SI",Datos!J17,Datos!J17+Datos!AD17)," - ")</f>
        <v>12</v>
      </c>
      <c r="F17" s="226">
        <f>IF(ISNUMBER(IF(D_I="SI",Datos!K17,Datos!K17+Datos!AE17)),IF(D_I="SI",Datos!K17,Datos!K17+Datos!AE17)," - ")</f>
        <v>27</v>
      </c>
      <c r="G17" s="1034" t="str">
        <f>IF(Datos!E17&lt;&gt;"",Datos!E17,Datos!D17)</f>
        <v>37</v>
      </c>
      <c r="H17" s="227">
        <f>IF(ISNUMBER(IF(D_I="SI",Datos!L17,Datos!L17+Datos!AF17)),IF(D_I="SI",Datos!L17,Datos!L17+Datos!AF17)," - ")</f>
        <v>26</v>
      </c>
      <c r="I17" s="1044" t="str">
        <f>IF(ISNUMBER(Datos!AS17/Datos!BM17),Datos!AS17/Datos!BM17," - ")</f>
        <v xml:space="preserve"> - </v>
      </c>
      <c r="J17" s="1045" t="str">
        <f>IF(ISNUMBER((Datos!BY17+Datos!BZ17)/Datos!CN17),(Datos!BY17+Datos!BZ17)/Datos!CN17," - ")</f>
        <v xml:space="preserve"> - </v>
      </c>
      <c r="K17" s="230">
        <f t="shared" si="3"/>
        <v>-0.36585365853658536</v>
      </c>
      <c r="L17" s="1025">
        <f>IF(ISNUMBER(NºAsuntos!I17/NºAsuntos!G17),(NºAsuntos!I17/NºAsuntos!G17)*11," - ")</f>
        <v>10.592592592592592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444</v>
      </c>
      <c r="D18" s="1049">
        <f>SUBTOTAL(9,D15:D17)</f>
        <v>436</v>
      </c>
      <c r="E18" s="1050">
        <f>SUBTOTAL(9,E15:E17)</f>
        <v>320</v>
      </c>
      <c r="F18" s="1050">
        <f>SUBTOTAL(9,F15:F17)</f>
        <v>364</v>
      </c>
      <c r="G18" s="1052" t="str">
        <f ca="1">INDIRECT(CONCATENATE("G",ROW()-1))</f>
        <v>37</v>
      </c>
      <c r="H18" s="1053">
        <f ca="1">SUMIF(G$14:G17,G18,H$14:H17)</f>
        <v>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452</v>
      </c>
      <c r="D19" s="1071">
        <f>SUBTOTAL(9,D9:D18)</f>
        <v>444</v>
      </c>
      <c r="E19" s="1072">
        <f>SUBTOTAL(9,E9:E18)</f>
        <v>321</v>
      </c>
      <c r="F19" s="1072">
        <f>SUBTOTAL(9,F9:F18)</f>
        <v>371</v>
      </c>
      <c r="G19" s="1073"/>
      <c r="H19" s="1074">
        <f ca="1">SUMIF(B9:B18,"TOTAL",H9:H18)</f>
        <v>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h7avtMenpYTZ8HYwgGPvppGpFphAUezAv29luv57xPDuliCxA9XXttpUYmV5Oj/Joo1oJviXvdI2AezcXGfyA==" saltValue="0te1LMD7flp/EElZlm2aT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bS5WZpejewVJUOz7k4OCRRIkNmXTzKwavDCiWigXQJ/GT7W/ka+pHWcKUIAkb7A02LQTvInZiR1i/WFL/bW9w==" saltValue="Xd+nM2xKEw36EAEFRoub3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1</v>
      </c>
      <c r="K10" s="181">
        <v>7</v>
      </c>
      <c r="L10" s="181">
        <v>2</v>
      </c>
      <c r="M10" s="181">
        <v>7</v>
      </c>
      <c r="N10" s="181">
        <v>0</v>
      </c>
      <c r="O10" s="181">
        <v>2</v>
      </c>
      <c r="P10" s="181">
        <v>0</v>
      </c>
      <c r="Q10" s="181">
        <v>2</v>
      </c>
      <c r="R10" s="181">
        <v>4</v>
      </c>
      <c r="S10" s="181">
        <v>21</v>
      </c>
      <c r="T10" s="181">
        <v>0</v>
      </c>
      <c r="U10" s="181">
        <v>2</v>
      </c>
      <c r="V10" s="181">
        <v>19</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21</v>
      </c>
      <c r="AZ10" s="129">
        <f t="shared" si="0"/>
        <v>0</v>
      </c>
      <c r="BA10" s="129">
        <f t="shared" si="0"/>
        <v>2</v>
      </c>
      <c r="BB10" s="129">
        <f t="shared" si="0"/>
        <v>19</v>
      </c>
      <c r="BC10" s="125">
        <f t="shared" si="0"/>
        <v>2</v>
      </c>
      <c r="BD10" s="126" t="str">
        <f>IF(ISNUMBER(BA10/AZ10),BA10/AZ10," - ")</f>
        <v xml:space="preserve"> - </v>
      </c>
      <c r="BE10" s="127">
        <f>IF(ISNUMBER(BB10/BA10),BB10/BA10, " - ")</f>
        <v>9.5</v>
      </c>
      <c r="BF10" s="127">
        <f>IF(ISNUMBER(BC10/BA10),BC10/BA10, " - ")</f>
        <v>1</v>
      </c>
      <c r="BG10" s="196">
        <f>IF(ISNUMBER((AY10+AZ10)/BA10),(AY10+AZ10)/BA10," - ")</f>
        <v>10.5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779</v>
      </c>
      <c r="J12" s="183">
        <v>408</v>
      </c>
      <c r="K12" s="183">
        <v>476</v>
      </c>
      <c r="L12" s="183">
        <v>714</v>
      </c>
      <c r="M12" s="183">
        <v>145</v>
      </c>
      <c r="N12" s="183">
        <v>190</v>
      </c>
      <c r="O12" s="181">
        <v>217</v>
      </c>
      <c r="P12" s="183">
        <v>137</v>
      </c>
      <c r="Q12" s="183">
        <v>104</v>
      </c>
      <c r="R12" s="183">
        <v>1327</v>
      </c>
      <c r="S12" s="183">
        <v>770</v>
      </c>
      <c r="T12" s="183">
        <v>325</v>
      </c>
      <c r="U12" s="183">
        <v>276</v>
      </c>
      <c r="V12" s="183">
        <v>740</v>
      </c>
      <c r="W12" s="183">
        <v>96</v>
      </c>
      <c r="X12" s="189">
        <v>124</v>
      </c>
      <c r="Y12" s="191">
        <v>26</v>
      </c>
      <c r="Z12" s="181">
        <v>21</v>
      </c>
      <c r="AA12" s="181">
        <v>28</v>
      </c>
      <c r="AB12" s="181">
        <v>19</v>
      </c>
      <c r="AC12" s="183">
        <v>0</v>
      </c>
      <c r="AD12" s="183">
        <v>0</v>
      </c>
      <c r="AE12" s="183">
        <v>0</v>
      </c>
      <c r="AF12" s="189">
        <v>0</v>
      </c>
      <c r="AG12" s="202">
        <v>65</v>
      </c>
      <c r="AH12" s="183">
        <v>30</v>
      </c>
      <c r="AI12" s="183">
        <v>43</v>
      </c>
      <c r="AJ12" s="203">
        <v>45</v>
      </c>
      <c r="AK12" s="182">
        <v>0</v>
      </c>
      <c r="AL12" s="183">
        <v>0</v>
      </c>
      <c r="AM12" s="183">
        <v>0</v>
      </c>
      <c r="AN12" s="189">
        <v>0</v>
      </c>
      <c r="AO12" s="259">
        <v>2</v>
      </c>
      <c r="AP12" s="155">
        <v>2</v>
      </c>
      <c r="AQ12" s="155">
        <v>2</v>
      </c>
      <c r="AR12" s="154">
        <v>2</v>
      </c>
      <c r="AS12" s="340" t="s">
        <v>802</v>
      </c>
      <c r="AT12" s="203"/>
      <c r="AU12" s="202"/>
      <c r="AV12" s="203"/>
      <c r="AW12" s="202"/>
      <c r="AX12" s="203"/>
      <c r="AY12" s="126">
        <f t="shared" si="1"/>
        <v>835</v>
      </c>
      <c r="AZ12" s="127">
        <f t="shared" si="1"/>
        <v>355</v>
      </c>
      <c r="BA12" s="127">
        <f t="shared" si="1"/>
        <v>319</v>
      </c>
      <c r="BB12" s="127">
        <f t="shared" si="1"/>
        <v>785</v>
      </c>
      <c r="BC12" s="125">
        <f>IF(ISNUMBER(X12),X12," - ")</f>
        <v>124</v>
      </c>
      <c r="BD12" s="126">
        <f t="shared" si="2"/>
        <v>0.89859154929577467</v>
      </c>
      <c r="BE12" s="127">
        <f t="shared" si="3"/>
        <v>2.4608150470219434</v>
      </c>
      <c r="BF12" s="127">
        <f t="shared" si="4"/>
        <v>0.38871473354231972</v>
      </c>
      <c r="BG12" s="196">
        <f t="shared" si="5"/>
        <v>3.7304075235109719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787</v>
      </c>
      <c r="J13" s="184">
        <f t="shared" si="6"/>
        <v>409</v>
      </c>
      <c r="K13" s="184">
        <f t="shared" si="6"/>
        <v>483</v>
      </c>
      <c r="L13" s="184">
        <f t="shared" si="6"/>
        <v>716</v>
      </c>
      <c r="M13" s="184">
        <f t="shared" si="6"/>
        <v>152</v>
      </c>
      <c r="N13" s="184">
        <f t="shared" si="6"/>
        <v>190</v>
      </c>
      <c r="O13" s="184">
        <f t="shared" si="6"/>
        <v>219</v>
      </c>
      <c r="P13" s="184">
        <f t="shared" si="6"/>
        <v>137</v>
      </c>
      <c r="Q13" s="184">
        <f t="shared" si="6"/>
        <v>106</v>
      </c>
      <c r="R13" s="184">
        <f t="shared" si="6"/>
        <v>1331</v>
      </c>
      <c r="S13" s="184">
        <f t="shared" si="6"/>
        <v>791</v>
      </c>
      <c r="T13" s="184">
        <f t="shared" si="6"/>
        <v>325</v>
      </c>
      <c r="U13" s="184">
        <f t="shared" si="6"/>
        <v>278</v>
      </c>
      <c r="V13" s="184">
        <f t="shared" si="6"/>
        <v>759</v>
      </c>
      <c r="W13" s="184">
        <f t="shared" si="6"/>
        <v>98</v>
      </c>
      <c r="X13" s="184">
        <f t="shared" si="6"/>
        <v>124</v>
      </c>
      <c r="Y13" s="184">
        <f t="shared" si="6"/>
        <v>26</v>
      </c>
      <c r="Z13" s="184">
        <f t="shared" si="6"/>
        <v>21</v>
      </c>
      <c r="AA13" s="184">
        <f t="shared" si="6"/>
        <v>28</v>
      </c>
      <c r="AB13" s="184">
        <f t="shared" si="6"/>
        <v>19</v>
      </c>
      <c r="AC13" s="184">
        <f t="shared" si="6"/>
        <v>0</v>
      </c>
      <c r="AD13" s="184">
        <f t="shared" si="6"/>
        <v>0</v>
      </c>
      <c r="AE13" s="184">
        <f t="shared" si="6"/>
        <v>0</v>
      </c>
      <c r="AF13" s="184">
        <f>SUBTOTAL(9,AF9:AF12)</f>
        <v>0</v>
      </c>
      <c r="AG13" s="184">
        <f t="shared" ref="AG13:AT13" si="7">SUBTOTAL(9,AG8:AG12)</f>
        <v>65</v>
      </c>
      <c r="AH13" s="184">
        <f t="shared" si="7"/>
        <v>30</v>
      </c>
      <c r="AI13" s="184">
        <f t="shared" si="7"/>
        <v>43</v>
      </c>
      <c r="AJ13" s="184">
        <f t="shared" si="7"/>
        <v>45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856</v>
      </c>
      <c r="AZ13" s="184">
        <f>SUBTOTAL(9,AZ8:AZ12)</f>
        <v>355</v>
      </c>
      <c r="BA13" s="184">
        <f>SUBTOTAL(9,BA8:BA12)</f>
        <v>321</v>
      </c>
      <c r="BB13" s="184">
        <f>SUBTOTAL(9,BB8:BB12)</f>
        <v>804</v>
      </c>
      <c r="BC13" s="184">
        <f>SUBTOTAL(9,BC8:BC12)</f>
        <v>126</v>
      </c>
      <c r="BD13" s="205">
        <f>IF(ISNUMBER(BA13/AZ13),BA13/AZ13," - ")</f>
        <v>0.90422535211267607</v>
      </c>
      <c r="BE13" s="206">
        <f>IF(ISNUMBER(BB13/BA13),BB13/BA13, " - ")</f>
        <v>2.5046728971962615</v>
      </c>
      <c r="BF13" s="206">
        <f>IF(ISNUMBER(BC13/BA13),BC13/BA13, " - ")</f>
        <v>0.3925233644859813</v>
      </c>
      <c r="BG13" s="207">
        <f>IF(ISNUMBER((AY13+AZ13)/BA13),(AY13+AZ13)/BA13," - ")</f>
        <v>3.7725856697819315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395</v>
      </c>
      <c r="J16" s="183">
        <v>308</v>
      </c>
      <c r="K16" s="183">
        <v>337</v>
      </c>
      <c r="L16" s="183">
        <v>374</v>
      </c>
      <c r="M16" s="183">
        <v>48</v>
      </c>
      <c r="N16" s="183">
        <v>154</v>
      </c>
      <c r="O16" s="181">
        <v>10</v>
      </c>
      <c r="P16" s="183">
        <v>7</v>
      </c>
      <c r="Q16" s="183">
        <v>11</v>
      </c>
      <c r="R16" s="183">
        <v>61</v>
      </c>
      <c r="S16" s="183">
        <v>285</v>
      </c>
      <c r="T16" s="183">
        <v>303</v>
      </c>
      <c r="U16" s="183">
        <v>320</v>
      </c>
      <c r="V16" s="183">
        <v>401</v>
      </c>
      <c r="W16" s="183">
        <v>37</v>
      </c>
      <c r="X16" s="189">
        <v>180</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285</v>
      </c>
      <c r="AZ16" s="127">
        <f t="shared" si="9"/>
        <v>303</v>
      </c>
      <c r="BA16" s="127">
        <f t="shared" si="9"/>
        <v>320</v>
      </c>
      <c r="BB16" s="127">
        <f t="shared" si="9"/>
        <v>401</v>
      </c>
      <c r="BC16" s="125">
        <f>IF(ISNUMBER(W16),W16," - ")</f>
        <v>37</v>
      </c>
      <c r="BD16" s="126">
        <f t="shared" ref="BD16" si="11">IF(ISNUMBER(BA16/AZ16),BA16/AZ16," - ")</f>
        <v>1.056105610561056</v>
      </c>
      <c r="BE16" s="127">
        <f t="shared" ref="BE16" si="12">IF(ISNUMBER(BB16/BA16),BB16/BA16, " - ")</f>
        <v>1.253125</v>
      </c>
      <c r="BF16" s="127">
        <f t="shared" ref="BF16" si="13">IF(ISNUMBER(BC16/BA16),BC16/BA16, " - ")</f>
        <v>0.11562500000000001</v>
      </c>
      <c r="BG16" s="196">
        <f t="shared" si="10"/>
        <v>1.8374999999999999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v>
      </c>
      <c r="J17" s="183">
        <v>12</v>
      </c>
      <c r="K17" s="183">
        <v>27</v>
      </c>
      <c r="L17" s="183">
        <v>26</v>
      </c>
      <c r="M17" s="183">
        <v>0</v>
      </c>
      <c r="N17" s="183">
        <v>3</v>
      </c>
      <c r="O17" s="183">
        <v>0</v>
      </c>
      <c r="P17" s="183">
        <v>0</v>
      </c>
      <c r="Q17" s="183">
        <v>0</v>
      </c>
      <c r="R17" s="183">
        <v>0</v>
      </c>
      <c r="S17" s="183">
        <v>79</v>
      </c>
      <c r="T17" s="183">
        <v>8</v>
      </c>
      <c r="U17" s="183">
        <v>16</v>
      </c>
      <c r="V17" s="183">
        <v>71</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79</v>
      </c>
      <c r="AZ17" s="129">
        <f t="shared" si="14"/>
        <v>8</v>
      </c>
      <c r="BA17" s="129">
        <f t="shared" si="14"/>
        <v>16</v>
      </c>
      <c r="BB17" s="129">
        <f t="shared" si="14"/>
        <v>71</v>
      </c>
      <c r="BC17" s="125">
        <f>IF(ISNUMBER(W17),W17," - ")</f>
        <v>0</v>
      </c>
      <c r="BD17" s="126">
        <f>IF(ISNUMBER(BA17/AZ17),BA17/AZ17," - ")</f>
        <v>2</v>
      </c>
      <c r="BE17" s="127">
        <f>IF(ISNUMBER(BB17/BA17),BB17/BA17, " - ")</f>
        <v>4.4375</v>
      </c>
      <c r="BF17" s="127">
        <f>IF(ISNUMBER(BC17/BA17),BC17/BA17, " - ")</f>
        <v>0</v>
      </c>
      <c r="BG17" s="196">
        <f>IF(ISNUMBER((AY17+AZ17)/BA17),(AY17+AZ17)/BA17," - ")</f>
        <v>5.4375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436</v>
      </c>
      <c r="J18" s="184">
        <f t="shared" si="15"/>
        <v>320</v>
      </c>
      <c r="K18" s="184">
        <f t="shared" si="15"/>
        <v>364</v>
      </c>
      <c r="L18" s="184">
        <f t="shared" si="15"/>
        <v>400</v>
      </c>
      <c r="M18" s="184">
        <f t="shared" si="15"/>
        <v>48</v>
      </c>
      <c r="N18" s="184">
        <f t="shared" si="15"/>
        <v>157</v>
      </c>
      <c r="O18" s="184">
        <f t="shared" si="15"/>
        <v>10</v>
      </c>
      <c r="P18" s="184">
        <f t="shared" si="15"/>
        <v>7</v>
      </c>
      <c r="Q18" s="184">
        <f t="shared" si="15"/>
        <v>11</v>
      </c>
      <c r="R18" s="184">
        <f t="shared" si="15"/>
        <v>61</v>
      </c>
      <c r="S18" s="184">
        <f t="shared" si="15"/>
        <v>364</v>
      </c>
      <c r="T18" s="184">
        <f t="shared" si="15"/>
        <v>311</v>
      </c>
      <c r="U18" s="184">
        <f t="shared" si="15"/>
        <v>336</v>
      </c>
      <c r="V18" s="184">
        <f t="shared" si="15"/>
        <v>472</v>
      </c>
      <c r="W18" s="184">
        <f t="shared" si="15"/>
        <v>37</v>
      </c>
      <c r="X18" s="184">
        <f t="shared" si="15"/>
        <v>181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364</v>
      </c>
      <c r="AZ18" s="184">
        <f>SUBTOTAL(9,AZ14:AZ17)</f>
        <v>311</v>
      </c>
      <c r="BA18" s="184">
        <f>SUBTOTAL(9,BA14:BA17)</f>
        <v>336</v>
      </c>
      <c r="BB18" s="184">
        <f>SUBTOTAL(9,BB14:BB17)</f>
        <v>472</v>
      </c>
      <c r="BC18" s="184">
        <f>SUBTOTAL(9,BC14:BC17)</f>
        <v>37</v>
      </c>
      <c r="BD18" s="205">
        <f>IF(ISNUMBER(BA18/AZ18),BA18/AZ18," - ")</f>
        <v>1.0803858520900322</v>
      </c>
      <c r="BE18" s="206">
        <f>IF(ISNUMBER(BB18/BA18),BB18/BA18, " - ")</f>
        <v>1.4047619047619047</v>
      </c>
      <c r="BF18" s="206">
        <f>IF(ISNUMBER(BC18/BA18),BC18/BA18, " - ")</f>
        <v>0.11011904761904762</v>
      </c>
      <c r="BG18" s="207">
        <f>IF(ISNUMBER((AY18+AZ18)/BA18),(AY18+AZ18)/BA18," - ")</f>
        <v>2.0089285714285716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1223</v>
      </c>
      <c r="J19" s="134">
        <f t="shared" si="18"/>
        <v>729</v>
      </c>
      <c r="K19" s="134">
        <f t="shared" si="18"/>
        <v>847</v>
      </c>
      <c r="L19" s="134">
        <f t="shared" si="18"/>
        <v>1116</v>
      </c>
      <c r="M19" s="134">
        <f t="shared" si="18"/>
        <v>200</v>
      </c>
      <c r="N19" s="134">
        <f t="shared" si="18"/>
        <v>347</v>
      </c>
      <c r="O19" s="134">
        <f t="shared" si="18"/>
        <v>229</v>
      </c>
      <c r="P19" s="134">
        <f t="shared" si="18"/>
        <v>144</v>
      </c>
      <c r="Q19" s="134">
        <f t="shared" si="18"/>
        <v>117</v>
      </c>
      <c r="R19" s="134">
        <f t="shared" si="18"/>
        <v>1392</v>
      </c>
      <c r="S19" s="134">
        <f t="shared" si="18"/>
        <v>1155</v>
      </c>
      <c r="T19" s="134">
        <f t="shared" si="18"/>
        <v>636</v>
      </c>
      <c r="U19" s="134">
        <f t="shared" si="18"/>
        <v>614</v>
      </c>
      <c r="V19" s="134">
        <f t="shared" si="18"/>
        <v>1231</v>
      </c>
      <c r="W19" s="134">
        <f t="shared" si="18"/>
        <v>135</v>
      </c>
      <c r="X19" s="134">
        <f t="shared" si="18"/>
        <v>305</v>
      </c>
      <c r="Y19" s="134">
        <f t="shared" si="18"/>
        <v>26</v>
      </c>
      <c r="Z19" s="134">
        <f t="shared" si="18"/>
        <v>21</v>
      </c>
      <c r="AA19" s="134">
        <f t="shared" si="18"/>
        <v>28</v>
      </c>
      <c r="AB19" s="134">
        <f t="shared" si="18"/>
        <v>19</v>
      </c>
      <c r="AC19" s="134">
        <f t="shared" si="18"/>
        <v>0</v>
      </c>
      <c r="AD19" s="134">
        <f t="shared" si="18"/>
        <v>1</v>
      </c>
      <c r="AE19" s="134">
        <f t="shared" si="18"/>
        <v>1</v>
      </c>
      <c r="AF19" s="134">
        <f t="shared" si="18"/>
        <v>0</v>
      </c>
      <c r="AG19" s="134">
        <f t="shared" si="18"/>
        <v>65</v>
      </c>
      <c r="AH19" s="134">
        <f t="shared" si="18"/>
        <v>30</v>
      </c>
      <c r="AI19" s="134">
        <f t="shared" si="18"/>
        <v>43</v>
      </c>
      <c r="AJ19" s="134">
        <f t="shared" si="18"/>
        <v>45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1220</v>
      </c>
      <c r="AZ19" s="134">
        <f>SUBTOTAL(9,AZ9:AZ18)</f>
        <v>666</v>
      </c>
      <c r="BA19" s="134">
        <f>SUBTOTAL(9,BA9:BA18)</f>
        <v>657</v>
      </c>
      <c r="BB19" s="134">
        <f>SUBTOTAL(9,BB9:BB18)</f>
        <v>1276</v>
      </c>
      <c r="BC19" s="135">
        <f>SUBTOTAL(9,BC9:BC18)</f>
        <v>163</v>
      </c>
      <c r="BD19" s="213">
        <f>IF(ISNUMBER(BA19/AZ19),BA19/AZ19," - ")</f>
        <v>0.98648648648648651</v>
      </c>
      <c r="BE19" s="210">
        <f>IF(ISNUMBER(BB19/BA19),BB19/BA19, " - ")</f>
        <v>1.9421613394216133</v>
      </c>
      <c r="BF19" s="210">
        <f>IF(ISNUMBER(BC19/BA19),BC19/BA19, " - ")</f>
        <v>0.24809741248097411</v>
      </c>
      <c r="BG19" s="135">
        <f>IF(ISNUMBER((AY19+AZ19)/BA19),(AY19+AZ19)/BA19," - ")</f>
        <v>2.8706240487062407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ukoBAF4MTdAmISf43Bjkk7ESYF9Fez52DiX4ZwGE9SyOe2WklkXXpNu4f4Bvtd0KQpC+f2Y3WBv7VJ9xBBdmQ==" saltValue="4qk0lJUguzbt/KxZpImAV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WbDo5QYHrQ7ujpt2NuCUjYbnsOXgyNHM75yMkQMczbq4ylEVsp2xUl7NNLGHfQ2wEWcwxpgYDvgnen4cMMo0A==" saltValue="a6/oylzi5Av1Jv0znvIJK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CORIA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2</v>
      </c>
      <c r="AD10" s="334"/>
      <c r="AE10" s="484"/>
      <c r="AF10" s="332">
        <f>IF(ISNUMBER(Datos!L10),Datos!L10,"-")</f>
        <v>2</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0</v>
      </c>
      <c r="BE10" s="229" t="str">
        <f>IF(ISNUMBER(Datos!BW10),Datos!BW10," - ")</f>
        <v xml:space="preserve"> - </v>
      </c>
      <c r="BF10" s="228" t="str">
        <f>IF(ISNUMBER(Datos!BX10),Datos!BX10," - ")</f>
        <v xml:space="preserve"> - </v>
      </c>
      <c r="BG10" s="243">
        <f>IF(ISNUMBER(Datos!K10/Datos!J10),Datos!K10/Datos!J10," - ")</f>
        <v>7</v>
      </c>
      <c r="BH10" s="260">
        <f>IF(ISNUMBER(((Datos!L10/Datos!K10)*11)/factor_trimestre),((Datos!L10/Datos!K10)*11)/factor_trimestre," - ")</f>
        <v>0.85714285714285721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137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1327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145</v>
      </c>
      <c r="BD12" s="229">
        <f>IF(ISNUMBER(Datos!N12),Datos!N12," - ")</f>
        <v>190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1.1748251748251748</v>
      </c>
      <c r="BH12" s="260">
        <f>IF(ISNUMBER(((IF(J_V="SI",Datos!L12/Datos!K12,(Datos!L12+Datos!AB12)/(Datos!K12+Datos!AA12)))*11)/factor_trimestre),((IF(J_V="SI",Datos!L12/Datos!K12,(Datos!L12+Datos!AB12)/(Datos!K12+Datos!AA12)))*11)/factor_trimestre," - ")</f>
        <v>4.3630952380952381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2.5502318392581144E-2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137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106</v>
      </c>
      <c r="AD13" s="899">
        <f t="shared" si="1"/>
        <v>0</v>
      </c>
      <c r="AE13" s="899">
        <f t="shared" si="1"/>
        <v>0</v>
      </c>
      <c r="AF13" s="899">
        <f t="shared" si="1"/>
        <v>2</v>
      </c>
      <c r="AG13" s="899">
        <f t="shared" si="1"/>
        <v>0</v>
      </c>
      <c r="AH13" s="899">
        <f t="shared" si="1"/>
        <v>19</v>
      </c>
      <c r="AI13" s="899">
        <f t="shared" si="1"/>
        <v>0</v>
      </c>
      <c r="AJ13" s="899">
        <f t="shared" si="1"/>
        <v>0</v>
      </c>
      <c r="AK13" s="899">
        <f t="shared" si="1"/>
        <v>0</v>
      </c>
      <c r="AL13" s="899">
        <f t="shared" si="1"/>
        <v>0</v>
      </c>
      <c r="AM13" s="899">
        <f t="shared" si="1"/>
        <v>1331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152</v>
      </c>
      <c r="BD13" s="899">
        <f t="shared" si="1"/>
        <v>190</v>
      </c>
      <c r="BE13" s="899">
        <f t="shared" si="1"/>
        <v>0</v>
      </c>
      <c r="BF13" s="899">
        <f t="shared" si="1"/>
        <v>0</v>
      </c>
      <c r="BG13" s="899">
        <f>IF(ISNUMBER(Datos!K13/Datos!J13),Datos!K13/Datos!J13," - ")</f>
        <v>1.1809290953545233</v>
      </c>
      <c r="BH13" s="903">
        <f>IF(ISNUMBER(((Datos!L13/Datos!K13)*11)/factor_trimestre),((Datos!L13/Datos!K13)*11)/factor_trimestre," - ")</f>
        <v>4.4472049689440993</v>
      </c>
      <c r="BI13" s="899">
        <f>IF(ISNUMBER('Resol  Asuntos'!D13/NºAsuntos!G13),'Resol  Asuntos'!D13/NºAsuntos!G13," - ")</f>
        <v>0.29745596868884538</v>
      </c>
      <c r="BJ13" s="899" t="str">
        <f>IF(ISNUMBER(Datos!CI13/Datos!CJ13),Datos!CI13/Datos!CJ13," - ")</f>
        <v xml:space="preserve"> - </v>
      </c>
      <c r="BK13" s="899">
        <f>SUBTOTAL(9,BK8:BK12)</f>
        <v>0</v>
      </c>
      <c r="BL13" s="899">
        <f>IF(ISNUMBER((I13-AB13+L13)/(F13)),(I13-AB13+L13)/(F13)," - ")</f>
        <v>-0.875</v>
      </c>
      <c r="BM13" s="904">
        <f>SUBTOTAL(9,BM9:BM12)</f>
        <v>-0.30783101494075216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403</v>
      </c>
      <c r="G16" s="598">
        <f>IF(ISNUMBER(IF(D_I="SI",Datos!I16,Datos!I16+Datos!AC16)),IF(D_I="SI",Datos!I16,Datos!I16+Datos!AC16)," - ")</f>
        <v>395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337</v>
      </c>
      <c r="AC16" s="226">
        <f>IF(ISNUMBER(Datos!Q16),Datos!Q16," - ")</f>
        <v>11</v>
      </c>
      <c r="AD16" s="334"/>
      <c r="AE16" s="484"/>
      <c r="AF16" s="596">
        <f>IF(ISNUMBER(IF(D_I="SI",Datos!L16,Datos!L16+Datos!AF16)),IF(D_I="SI",Datos!L16,Datos!L16+Datos!AF16)," - ")</f>
        <v>374</v>
      </c>
      <c r="AG16" s="334"/>
      <c r="AH16" s="334"/>
      <c r="AI16" s="334"/>
      <c r="AJ16" s="334"/>
      <c r="AK16" s="334"/>
      <c r="AL16" s="479"/>
      <c r="AM16" s="335">
        <f>IF(ISNUMBER(Datos!R16),Datos!R16," - ")</f>
        <v>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v>
      </c>
      <c r="BD16" s="229">
        <f>IF(ISNUMBER(Datos!N16),Datos!N16," - ")</f>
        <v>154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1.0941558441558441</v>
      </c>
      <c r="BH16" s="260">
        <f>IF(ISNUMBER(((IF(D_I="SI",Datos!L16/Datos!K16,(Datos!L16+Datos!AF16)/(Datos!K16+Datos!AE16)))*11)/factor_trimestre),((IF(D_I="SI",Datos!L16/Datos!K16,(Datos!L16+Datos!AF16)/(Datos!K16+Datos!AE16)))*11)/factor_trimestre," - ")</f>
        <v>3.3293768545994062</v>
      </c>
      <c r="BI16" s="243">
        <f>IF(ISNUMBER('Resol  Asuntos'!D16/NºAsuntos!G16),'Resol  Asuntos'!D16/NºAsuntos!G16," - ")</f>
        <v>0.14243323442136499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26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2.25</v>
      </c>
      <c r="BH17" s="260">
        <f>IF(ISNUMBER(((IF(D_I="SI",Datos!L17/Datos!K17,(Datos!L17+Datos!AF17)/(Datos!K17+Datos!AE17)))*11)/factor_trimestre),((IF(D_I="SI",Datos!L17/Datos!K17,(Datos!L17+Datos!AF17)/(Datos!K17+Datos!AE17)))*11)/factor_trimestre," - ")</f>
        <v>2.8888888888888888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403</v>
      </c>
      <c r="G18" s="898">
        <f>SUBTOTAL(9,G15:G17)</f>
        <v>436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364</v>
      </c>
      <c r="AC18" s="899">
        <f t="shared" si="4"/>
        <v>11</v>
      </c>
      <c r="AD18" s="899">
        <f t="shared" si="4"/>
        <v>0</v>
      </c>
      <c r="AE18" s="899">
        <f t="shared" si="4"/>
        <v>0</v>
      </c>
      <c r="AF18" s="899">
        <f t="shared" si="4"/>
        <v>400</v>
      </c>
      <c r="AG18" s="899">
        <f t="shared" si="4"/>
        <v>0</v>
      </c>
      <c r="AH18" s="899">
        <f t="shared" si="4"/>
        <v>0</v>
      </c>
      <c r="AI18" s="899">
        <f t="shared" si="4"/>
        <v>0</v>
      </c>
      <c r="AJ18" s="899">
        <f t="shared" si="4"/>
        <v>0</v>
      </c>
      <c r="AK18" s="899">
        <f t="shared" si="4"/>
        <v>0</v>
      </c>
      <c r="AL18" s="899">
        <f t="shared" si="4"/>
        <v>0</v>
      </c>
      <c r="AM18" s="899">
        <f t="shared" si="4"/>
        <v>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v>
      </c>
      <c r="BD18" s="899">
        <f t="shared" si="4"/>
        <v>157</v>
      </c>
      <c r="BE18" s="899">
        <f t="shared" si="4"/>
        <v>0</v>
      </c>
      <c r="BF18" s="899">
        <f t="shared" si="4"/>
        <v>0</v>
      </c>
      <c r="BG18" s="899">
        <f>IF(ISNUMBER(Datos!K18/Datos!J18),Datos!K18/Datos!J18," - ")</f>
        <v>1.1375</v>
      </c>
      <c r="BH18" s="903">
        <f>IF(ISNUMBER(((Datos!L18/Datos!K18)*11)/factor_trimestre),((Datos!L18/Datos!K18)*11)/factor_trimestre," - ")</f>
        <v>3.2967032967032974</v>
      </c>
      <c r="BI18" s="899">
        <f>SUBTOTAL(9,BI15:BI17)</f>
        <v>0.14243323442136499</v>
      </c>
      <c r="BJ18" s="899">
        <f>SUBTOTAL(9,BJ15:BJ17)</f>
        <v>0</v>
      </c>
      <c r="BK18" s="899">
        <f>SUBTOTAL(9,BK15:BK17)</f>
        <v>0</v>
      </c>
      <c r="BL18" s="899">
        <f>IF(ISNUMBER((I18-AB18+L18)/(F18)),(I18-AB18+L18)/(F18)," - ")</f>
        <v>-0.90322580645161288</v>
      </c>
      <c r="BM18" s="905">
        <f>IF(ISNUMBER((Datos!P18-Datos!Q18)/(Datos!R18-Datos!P18+Datos!Q18)),(Datos!P18-Datos!Q18)/(Datos!R18-Datos!P18+Datos!Q18)," - ")</f>
        <v>-6.1538461538461542E-2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411</v>
      </c>
      <c r="G19" s="820">
        <f t="shared" si="6"/>
        <v>444</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144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371</v>
      </c>
      <c r="AC19" s="821">
        <f t="shared" si="7"/>
        <v>117</v>
      </c>
      <c r="AD19" s="821">
        <f t="shared" si="7"/>
        <v>0</v>
      </c>
      <c r="AE19" s="821">
        <f t="shared" si="7"/>
        <v>0</v>
      </c>
      <c r="AF19" s="828">
        <f t="shared" si="7"/>
        <v>402</v>
      </c>
      <c r="AG19" s="828">
        <f t="shared" si="7"/>
        <v>0</v>
      </c>
      <c r="AH19" s="828">
        <f t="shared" si="7"/>
        <v>19</v>
      </c>
      <c r="AI19" s="828">
        <f t="shared" si="7"/>
        <v>0</v>
      </c>
      <c r="AJ19" s="821">
        <f t="shared" si="7"/>
        <v>0</v>
      </c>
      <c r="AK19" s="828">
        <f t="shared" si="7"/>
        <v>0</v>
      </c>
      <c r="AL19" s="828">
        <f t="shared" si="7"/>
        <v>0</v>
      </c>
      <c r="AM19" s="828">
        <f t="shared" si="7"/>
        <v>1392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200</v>
      </c>
      <c r="BD19" s="820">
        <f t="shared" si="7"/>
        <v>347</v>
      </c>
      <c r="BE19" s="820">
        <f t="shared" si="7"/>
        <v>0</v>
      </c>
      <c r="BF19" s="830">
        <f t="shared" si="7"/>
        <v>0</v>
      </c>
      <c r="BG19" s="915">
        <f>IF(ISNUMBER(Datos!K19/Datos!J19),Datos!K19/Datos!J19," - ")</f>
        <v>1.1618655692729767</v>
      </c>
      <c r="BH19" s="915">
        <f>IF(ISNUMBER(((Datos!L19/Datos!K19)*11)/factor_trimestre),((Datos!L19/Datos!K19)*11)/factor_trimestre," - ")</f>
        <v>3.9527744982290436</v>
      </c>
      <c r="BI19" s="813">
        <f>IF(ISNUMBER(Datos!J19/Datos!I19),Datos!J19/Datos!I19," - ")</f>
        <v>0.59607522485690922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-0.902676399026764</v>
      </c>
      <c r="BM19" s="889">
        <f>IF(ISNUMBER((Datos!P19-Datos!Q19+R19)/(Datos!R19-Datos!P19+Datos!Q19-R19)),(Datos!P19-Datos!Q19+R19)/(Datos!R19-Datos!P19+Datos!Q19-R19)," - ")</f>
        <v>1.9780219780219779E-2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228.05335632990219</v>
      </c>
      <c r="G21" s="552">
        <f>IF(ISNUMBER(STDEV(G8:G18)),STDEV(G8:G18),"-")</f>
        <v>218.07177717439734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184.91836036478369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66.512154277745864</v>
      </c>
      <c r="BD21" s="551"/>
      <c r="BE21" s="551">
        <f>IF(ISNUMBER(STDEV(BE8:BE18)),STDEV(BE8:BE18),"-")</f>
        <v>0</v>
      </c>
      <c r="BF21" s="556">
        <f>IF(ISNUMBER(STDEV(BF8:BF18)),STDEV(BF8:BF18),"-")</f>
        <v>0</v>
      </c>
      <c r="BG21" s="775">
        <f>IF(ISNUMBER(STDEV(BG8:BG18)),STDEV(BG8:BG18),"-")</f>
        <v>2.3416264092394834</v>
      </c>
      <c r="BH21" s="776">
        <f>IF(ISNUMBER(STDEV(BH8:BH18)),STDEV(BH8:BH18),"-")</f>
        <v>1.3053826125050654</v>
      </c>
      <c r="BI21" s="249">
        <f>IF(ISNUMBER(STDEV(BI8:BI18)),STDEV(BI8:BI18),"-")</f>
        <v>0.1214902609689401</v>
      </c>
      <c r="BJ21" s="230" t="str">
        <f>IF(ISNUMBER(BL21/BM21),BL21/BM21," - ")</f>
        <v xml:space="preserve"> - </v>
      </c>
      <c r="BK21" s="575"/>
      <c r="BL21" s="559">
        <f>IF(ISNUMBER(STDEV(BL8:BL18)),STDEV(BL8:BL18),"-")</f>
        <v>1.995865914639447E-2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6O4Zq/cgYEbUnyvi7ErrNAeNYq8pr16ItHKyeJtXQLLWEOVCpH0/dFd4MZLL+EbOxnEpsZAhTa8b6KcSFBLmxQ==" saltValue="+L5yw+JCtawPi1MmDbXyB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CORIA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2</v>
      </c>
      <c r="AA10" s="332">
        <f>IF(ISNUMBER(Datos!L10),Datos!L10,"-")</f>
        <v>2</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7</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0.85714285714285721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104</v>
      </c>
      <c r="AA12" s="332" t="str">
        <f>IF(ISNUMBER(IF(J_V="SI",Datos!L12,Datos!L12+Datos!AB12)-IF(Monitorios="SI",Datos!CD12,0)),
                          IF(J_V="SI",Datos!L12,Datos!L12+Datos!AB12)-IF(Monitorios="SI",Datos!CD12,0),
                          " - ")</f>
        <v xml:space="preserve"> - </v>
      </c>
      <c r="AB12" s="334"/>
      <c r="AC12" s="334"/>
      <c r="AD12" s="484"/>
      <c r="AE12" s="484">
        <f>IF(ISNUMBER(Datos!R12),Datos!R12," - ")</f>
        <v>1327</v>
      </c>
      <c r="AF12" s="229" t="str">
        <f>IF(ISNUMBER(Datos!BV12),Datos!BV12," - ")</f>
        <v xml:space="preserve"> - </v>
      </c>
      <c r="AG12" s="225" t="str">
        <f>IF(ISNUMBER(Datos!DV12),Datos!DV12," - ")</f>
        <v xml:space="preserve"> - </v>
      </c>
      <c r="AH12" s="298"/>
      <c r="AI12" s="227"/>
      <c r="AJ12" s="225">
        <f>IF(ISNUMBER(Datos!M12),Datos!M12," - ")</f>
        <v>145</v>
      </c>
      <c r="AK12" s="229">
        <f>IF(ISNUMBER(Datos!N12),Datos!N12," - ")</f>
        <v>190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4.3630952380952381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2.5502318392581144E-2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137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106</v>
      </c>
      <c r="AA13" s="900">
        <f t="shared" si="2"/>
        <v>2</v>
      </c>
      <c r="AB13" s="900">
        <f t="shared" si="2"/>
        <v>0</v>
      </c>
      <c r="AC13" s="900">
        <f t="shared" si="2"/>
        <v>0</v>
      </c>
      <c r="AD13" s="900">
        <f t="shared" si="2"/>
        <v>0</v>
      </c>
      <c r="AE13" s="900">
        <f t="shared" si="2"/>
        <v>1331</v>
      </c>
      <c r="AF13" s="908">
        <f t="shared" si="2"/>
        <v>0</v>
      </c>
      <c r="AG13" s="908">
        <f t="shared" si="2"/>
        <v>0</v>
      </c>
      <c r="AH13" s="908">
        <f t="shared" si="2"/>
        <v>0</v>
      </c>
      <c r="AI13" s="908">
        <f t="shared" si="2"/>
        <v>0</v>
      </c>
      <c r="AJ13" s="908">
        <f t="shared" si="2"/>
        <v>152</v>
      </c>
      <c r="AK13" s="908">
        <f t="shared" si="2"/>
        <v>190</v>
      </c>
      <c r="AL13" s="908">
        <f t="shared" si="2"/>
        <v>0</v>
      </c>
      <c r="AM13" s="908">
        <f t="shared" si="2"/>
        <v>0</v>
      </c>
      <c r="AN13" s="908">
        <f t="shared" si="2"/>
        <v>0</v>
      </c>
      <c r="AO13" s="904">
        <f>IF(ISNUMBER(((NºAsuntos!I13/NºAsuntos!G13)*11)/factor_trimestre),((NºAsuntos!I13/NºAsuntos!G13)*11)/factor_trimestre," - ")</f>
        <v>4.3150684931506849</v>
      </c>
      <c r="AP13" s="910" t="str">
        <f>IF(ISNUMBER(Datos!CI13/Datos!CJ13),Datos!CI13/Datos!CJ13," - ")</f>
        <v xml:space="preserve"> - </v>
      </c>
      <c r="AQ13" s="928">
        <f t="shared" ref="AQ13:AV13" si="3">SUBTOTAL(9,AQ9:AQ12)</f>
        <v>0</v>
      </c>
      <c r="AR13" s="928">
        <f t="shared" si="3"/>
        <v>-0.30783101494075216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403</v>
      </c>
      <c r="G16" s="225">
        <f>IF(ISNUMBER(IF(D_I="SI",Datos!I16,Datos!I16+Datos!AC16)),IF(D_I="SI",Datos!I16,Datos!I16+Datos!AC16)," - ")</f>
        <v>395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337</v>
      </c>
      <c r="Z16" s="619">
        <f>IF(ISNUMBER(Datos!Q16),Datos!Q16," - ")</f>
        <v>11</v>
      </c>
      <c r="AA16" s="332">
        <f>IF(ISNUMBER(IF(D_I="SI",Datos!L16,Datos!L16+Datos!AF16)),IF(D_I="SI",Datos!L16,Datos!L16+Datos!AF16)," - ")</f>
        <v>374</v>
      </c>
      <c r="AB16" s="334"/>
      <c r="AC16" s="334"/>
      <c r="AD16" s="484"/>
      <c r="AE16" s="484">
        <f>IF(ISNUMBER(Datos!R16),Datos!R16," - ")</f>
        <v>61</v>
      </c>
      <c r="AF16" s="229" t="str">
        <f>IF(ISNUMBER(Datos!BV16),Datos!BV16," - ")</f>
        <v xml:space="preserve"> - </v>
      </c>
      <c r="AG16" s="225"/>
      <c r="AH16" s="298"/>
      <c r="AI16" s="227"/>
      <c r="AJ16" s="225">
        <f>IF(ISNUMBER(Datos!M16),Datos!M16," - ")</f>
        <v>48</v>
      </c>
      <c r="AK16" s="229">
        <f>IF(ISNUMBER(Datos!N16),Datos!N16," - ")</f>
        <v>154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3.3293768545994062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26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2.8888888888888888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403</v>
      </c>
      <c r="G18" s="898">
        <f>SUBTOTAL(9,G15:G17)</f>
        <v>436</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364</v>
      </c>
      <c r="Z18" s="932">
        <f t="shared" si="5"/>
        <v>11</v>
      </c>
      <c r="AA18" s="932">
        <f t="shared" si="5"/>
        <v>400</v>
      </c>
      <c r="AB18" s="932">
        <f t="shared" si="5"/>
        <v>0</v>
      </c>
      <c r="AC18" s="932">
        <f t="shared" si="5"/>
        <v>0</v>
      </c>
      <c r="AD18" s="932">
        <f t="shared" si="5"/>
        <v>0</v>
      </c>
      <c r="AE18" s="932">
        <f t="shared" si="5"/>
        <v>61</v>
      </c>
      <c r="AF18" s="932">
        <f t="shared" si="5"/>
        <v>0</v>
      </c>
      <c r="AG18" s="932">
        <f t="shared" si="5"/>
        <v>0</v>
      </c>
      <c r="AH18" s="932">
        <f t="shared" si="5"/>
        <v>0</v>
      </c>
      <c r="AI18" s="932">
        <f t="shared" si="5"/>
        <v>0</v>
      </c>
      <c r="AJ18" s="932">
        <f t="shared" si="5"/>
        <v>48</v>
      </c>
      <c r="AK18" s="932">
        <f t="shared" si="5"/>
        <v>157</v>
      </c>
      <c r="AL18" s="932">
        <f t="shared" si="5"/>
        <v>0</v>
      </c>
      <c r="AM18" s="932">
        <f t="shared" si="5"/>
        <v>0</v>
      </c>
      <c r="AN18" s="932">
        <f t="shared" si="5"/>
        <v>0</v>
      </c>
      <c r="AO18" s="934">
        <f>IF(ISNUMBER(((NºAsuntos!I18/NºAsuntos!G18)*11)/factor_trimestre),((NºAsuntos!I18/NºAsuntos!G18)*11)/factor_trimestre," - ")</f>
        <v>3.2967032967032974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411</v>
      </c>
      <c r="G19" s="820">
        <f t="shared" si="7"/>
        <v>444</v>
      </c>
      <c r="H19" s="821">
        <f t="shared" si="7"/>
        <v>0</v>
      </c>
      <c r="I19" s="820">
        <f t="shared" si="7"/>
        <v>0</v>
      </c>
      <c r="J19" s="822">
        <f t="shared" si="7"/>
        <v>0</v>
      </c>
      <c r="K19" s="820">
        <f t="shared" si="7"/>
        <v>0</v>
      </c>
      <c r="L19" s="823">
        <f t="shared" si="7"/>
        <v>0</v>
      </c>
      <c r="M19" s="820">
        <f t="shared" si="7"/>
        <v>0</v>
      </c>
      <c r="N19" s="821">
        <f t="shared" si="7"/>
        <v>144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371</v>
      </c>
      <c r="Z19" s="827">
        <f t="shared" si="8"/>
        <v>117</v>
      </c>
      <c r="AA19" s="828">
        <f t="shared" si="8"/>
        <v>402</v>
      </c>
      <c r="AB19" s="828">
        <f t="shared" si="8"/>
        <v>0</v>
      </c>
      <c r="AC19" s="828">
        <f t="shared" si="8"/>
        <v>0</v>
      </c>
      <c r="AD19" s="829">
        <f t="shared" si="8"/>
        <v>0</v>
      </c>
      <c r="AE19" s="829">
        <f t="shared" si="8"/>
        <v>1392</v>
      </c>
      <c r="AF19" s="830">
        <f t="shared" si="8"/>
        <v>0</v>
      </c>
      <c r="AG19" s="831">
        <f t="shared" si="8"/>
        <v>0</v>
      </c>
      <c r="AH19" s="832">
        <f t="shared" si="8"/>
        <v>0</v>
      </c>
      <c r="AI19" s="830">
        <f t="shared" si="8"/>
        <v>0</v>
      </c>
      <c r="AJ19" s="820">
        <f t="shared" si="8"/>
        <v>200</v>
      </c>
      <c r="AK19" s="820">
        <f t="shared" si="8"/>
        <v>347</v>
      </c>
      <c r="AL19" s="820">
        <f t="shared" si="8"/>
        <v>0</v>
      </c>
      <c r="AM19" s="833">
        <f t="shared" si="8"/>
        <v>0</v>
      </c>
      <c r="AN19" s="823">
        <f>IF(ISNUMBER(Datos!K19/Datos!J19),Datos!K19/Datos!J19," - ")</f>
        <v>1.1618655692729767</v>
      </c>
      <c r="AO19" s="823">
        <f>IF(ISNUMBER(FIND("06",Criterios!A8,1)),(IF(ISNUMBER(((Datos!R19/Datos!Q19)*11)/factor_trimestre),((Datos!R19/Datos!Q19)*11)/factor_trimestre," - ")),(IF(ISNUMBER(((Datos!L19/Datos!K19)*11)/factor_trimestre),((Datos!L19/Datos!K19)*11)/factor_trimestre," - ")))</f>
        <v>3.9527744982290436</v>
      </c>
      <c r="AP19" s="834" t="str">
        <f>IF(ISNUMBER(Datos!CI19/Datos!CJ19),Datos!CI19/Datos!CJ19," - ")</f>
        <v xml:space="preserve"> - </v>
      </c>
      <c r="AQ19" s="834">
        <f>IF(OR(ISNUMBER(FIND("01",Criterios!A8,1)),ISNUMBER(FIND("02",Criterios!A8,1)),ISNUMBER(FIND("03",Criterios!A8,1)),ISNUMBER(FIND("04",Criterios!A8,1))),(J19-Y19+K19)/(F19-K19),(I19-Y19+K19)/(F19-K19))</f>
        <v>-0.902676399026764</v>
      </c>
      <c r="AR19" s="834">
        <f>IF(ISNUMBER((Datos!P19-Datos!Q19+O19)/(Datos!R19-Datos!P19+Datos!Q19-O19)),(Datos!P19-Datos!Q19+O19)/(Datos!R19-Datos!P19+Datos!Q19-O19)," - ")</f>
        <v>1.9780219780219779E-2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228.05335632990219</v>
      </c>
      <c r="G21" s="552">
        <f>IF(ISNUMBER(STDEV(G8:G18)),STDEV(G8:G18),"-")</f>
        <v>218.07177717439734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66.512154277745864</v>
      </c>
      <c r="AK21" s="252"/>
      <c r="AL21" s="252">
        <f>IF(ISNUMBER(STDEV(AL8:AL18)),STDEV(AL8:AL18),"-")</f>
        <v>0</v>
      </c>
      <c r="AM21" s="254">
        <f>IF(ISNUMBER(STDEV(AM8:AM18)),STDEV(AM8:AM18),"-")</f>
        <v>0</v>
      </c>
      <c r="AN21" s="539">
        <f>IF(ISNUMBER(STDEV(AN8:AN18)),STDEV(AN8:AN18),"-")</f>
        <v>0</v>
      </c>
      <c r="AO21" s="540">
        <f>IF(ISNUMBER(STDEV(AO8:AO18)),STDEV(AO8:AO18),"-")</f>
        <v>1.2809599259506257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eZEWNt4M2/6e+g2SFXAVe804FLsBEkVlsOySarrlMQsOd4lgNhsEW/tO9cpX7VM5Eqw25tLriFebbA6qx74sw==" saltValue="5L8i6z4gM0DF1r4YdzpsV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GVr57RryBikOhSSjRpqCtzk9oYJAFCuQ1hZm6cfEPxAcG3OyMSA8sRU9x0oxqPXjmcOuJubMyZG3+/rNec8XA==" saltValue="7UASOXUJBnz7ayUEg+A7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3Wt9Ck5jP1ysIn1C1X0Oh3iTx2gKTs3ubhUdHm3Ov7ONSXie2D1XhHYjQL8pw/PuW44XaOxQ5MijgmA87AoIQ==" saltValue="+CFKG76tpMJK21G2IHn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CORIA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0.29745596868884538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0.21033313256429592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z7KCIH5b9OcN2lvbZ49Ueyq4j5IG3oURAMp9P3BS2x/PZZcXEF/VEvB5XJ+yH7DoALtCPMC6l9OZ3RDiBXy/lQ==" saltValue="tHp6wfMJfeyzQO4jcxXg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uAoRSrnnEvzQn8N3H5rXPHn1yNZDHT3+yAwKsYlQEnsjfltIPEZzmMGAXMfz1mzc8wbdtmcWemDK/Z2lQluw==" saltValue="XGDvs3Wltu9zFp+CAls1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CORIA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1</v>
      </c>
      <c r="F10" s="404">
        <f>IF(ISNUMBER(E10/B10),E10/B10," - ")</f>
        <v>1</v>
      </c>
      <c r="G10" s="403">
        <f>IF(ISNUMBER(Datos!K10),Datos!K10," - ")</f>
        <v>7</v>
      </c>
      <c r="H10" s="404">
        <f>IF(ISNUMBER(G10/B10),G10/B10," - ")</f>
        <v>7</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805</v>
      </c>
      <c r="D12" s="404">
        <f>IF(ISNUMBER(C12/Datos!BH12),C12/Datos!BH12," - ")</f>
        <v>402.5</v>
      </c>
      <c r="E12" s="403">
        <f>IF(ISNUMBER(IF(J_V="SI",Datos!J12,Datos!J12+Datos!Z12)),IF(J_V="SI",Datos!J12,Datos!J12+Datos!Z12)," - ")</f>
        <v>429</v>
      </c>
      <c r="F12" s="404">
        <f>IF(ISNUMBER(E12/B12),E12/B12," - ")</f>
        <v>214.5</v>
      </c>
      <c r="G12" s="403">
        <f>IF(ISNUMBER(IF(J_V="SI",Datos!K12,Datos!K12+Datos!AA12)),IF(J_V="SI",Datos!K12,Datos!K12+Datos!AA12)," - ")</f>
        <v>504</v>
      </c>
      <c r="H12" s="404">
        <f>IF(ISNUMBER(G12/B12),G12/B12," - ")</f>
        <v>252</v>
      </c>
      <c r="I12" s="403">
        <f>IF(ISNUMBER(IF(J_V="SI",Datos!L12,Datos!L12+Datos!AB12)),IF(J_V="SI",Datos!L12,Datos!L12+Datos!AB12)," - ")</f>
        <v>733</v>
      </c>
      <c r="J12" s="404">
        <f>IF(ISNUMBER(I12/B12),I12/B12," - ")</f>
        <v>366.5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813</v>
      </c>
      <c r="D13" s="850" t="str">
        <f>IF(ISNUMBER(C13/Datos!BI13),C13/Datos!BI13," - ")</f>
        <v xml:space="preserve"> - </v>
      </c>
      <c r="E13" s="849">
        <f>SUBTOTAL(9,E8:E12)</f>
        <v>430</v>
      </c>
      <c r="F13" s="850">
        <f>IF(ISNUMBER(E13/B13),E13/B13," - ")</f>
        <v>215</v>
      </c>
      <c r="G13" s="849">
        <f>SUBTOTAL(9,G8:G12)</f>
        <v>511</v>
      </c>
      <c r="H13" s="850">
        <f>IF(ISNUMBER(G13/B13),G13/B13," - ")</f>
        <v>255.5</v>
      </c>
      <c r="I13" s="849">
        <f>SUBTOTAL(9,I8:I12)</f>
        <v>735</v>
      </c>
      <c r="J13" s="850">
        <f>IF(ISNUMBER(I13/B13),I13/B13," - ")</f>
        <v>367.5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395</v>
      </c>
      <c r="D16" s="404">
        <f>IF(ISNUMBER(C16/Datos!BH16),C16/Datos!BH16," - ")</f>
        <v>197.5</v>
      </c>
      <c r="E16" s="403">
        <f>IF(ISNUMBER(IF(D_I="SI",Datos!J16,Datos!J16+Datos!AD16)),IF(D_I="SI",Datos!J16,Datos!J16+Datos!AD16)," - ")</f>
        <v>308</v>
      </c>
      <c r="F16" s="404">
        <f>IF(ISNUMBER(E16/B16),E16/B16," - ")</f>
        <v>154</v>
      </c>
      <c r="G16" s="403">
        <f>IF(ISNUMBER(IF(D_I="SI",Datos!K16,Datos!K16+Datos!AE16)),IF(D_I="SI",Datos!K16,Datos!K16+Datos!AE16)," - ")</f>
        <v>337</v>
      </c>
      <c r="H16" s="404">
        <f>IF(ISNUMBER(G16/B16),G16/B16," - ")</f>
        <v>168.5</v>
      </c>
      <c r="I16" s="403">
        <f>IF(ISNUMBER(IF(D_I="SI",Datos!L16,Datos!L16+Datos!AF16)),IF(D_I="SI",Datos!L16,Datos!L16+Datos!AF16)," - ")</f>
        <v>374</v>
      </c>
      <c r="J16" s="404">
        <f>IF(ISNUMBER(I16/B16),I16/B16," - ")</f>
        <v>187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v>
      </c>
      <c r="D17" s="404">
        <f>IF(ISNUMBER(C17/Datos!BH17),C17/Datos!BH17," - ")</f>
        <v>41</v>
      </c>
      <c r="E17" s="403">
        <f>IF(ISNUMBER(IF(D_I="SI",Datos!J17,Datos!J17+Datos!AD17)),IF(D_I="SI",Datos!J17,Datos!J17+Datos!AD17)," - ")</f>
        <v>12</v>
      </c>
      <c r="F17" s="404">
        <f>IF(ISNUMBER(E17/B17),E17/B17," - ")</f>
        <v>12</v>
      </c>
      <c r="G17" s="403">
        <f>IF(ISNUMBER(IF(D_I="SI",Datos!K17,Datos!K17+Datos!AE17)),IF(D_I="SI",Datos!K17,Datos!K17+Datos!AE17)," - ")</f>
        <v>27</v>
      </c>
      <c r="H17" s="404">
        <f>IF(ISNUMBER(G17/B17),G17/B17," - ")</f>
        <v>27</v>
      </c>
      <c r="I17" s="403">
        <f>IF(ISNUMBER(IF(D_I="SI",Datos!L17,Datos!L17+Datos!AF17)),IF(D_I="SI",Datos!L17,Datos!L17+Datos!AF17)," - ")</f>
        <v>26</v>
      </c>
      <c r="J17" s="404">
        <f>IF(ISNUMBER(I17/B17),I17/B17," - ")</f>
        <v>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436</v>
      </c>
      <c r="D18" s="850" t="str">
        <f>IF(ISNUMBER(C18/Datos!BI18),C18/Datos!BI18," - ")</f>
        <v xml:space="preserve"> - </v>
      </c>
      <c r="E18" s="849">
        <f>SUBTOTAL(9,E14:E17)</f>
        <v>320</v>
      </c>
      <c r="F18" s="850">
        <f>IF(ISNUMBER(E18/B18),E18/B18," - ")</f>
        <v>160</v>
      </c>
      <c r="G18" s="849">
        <f>SUBTOTAL(9,G14:G17)</f>
        <v>364</v>
      </c>
      <c r="H18" s="850">
        <f>IF(ISNUMBER(G18/B18),G18/B18," - ")</f>
        <v>182</v>
      </c>
      <c r="I18" s="849">
        <f>SUBTOTAL(9,I14:I17)</f>
        <v>400</v>
      </c>
      <c r="J18" s="850">
        <f>IF(ISNUMBER(I18/B18),I18/B18," - ")</f>
        <v>200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1249</v>
      </c>
      <c r="D19" s="795" t="str">
        <f>IF(ISNUMBER(C19/Datos!BI19),C19/Datos!BI19," - ")</f>
        <v xml:space="preserve"> - </v>
      </c>
      <c r="E19" s="794">
        <f>SUBTOTAL(9,E9:E18)</f>
        <v>750</v>
      </c>
      <c r="F19" s="795">
        <f>IF(ISNUMBER(E19/B19),E19/B19," - ")</f>
        <v>375</v>
      </c>
      <c r="G19" s="794">
        <f>SUBTOTAL(9,G9:G18)</f>
        <v>875</v>
      </c>
      <c r="H19" s="795">
        <f>IF(ISNUMBER(G19/B19),G19/B19," - ")</f>
        <v>437.5</v>
      </c>
      <c r="I19" s="794">
        <f>SUBTOTAL(9,I9:I18)</f>
        <v>1135</v>
      </c>
      <c r="J19" s="795">
        <f>IF(ISNUMBER(I19/B19),I19/B19," - ")</f>
        <v>567.5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iPjuZa1NYgePjD55uvGXD2adFwZpvU0kXKS+mCsXSBaDwAINIh62RsmfoYQuwi8Z7f+hD/hqoEWTJFeFzJX25A==" saltValue="dUBXbZf8rqUsI14D5WTL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CORIA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0.85714285714285721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145</v>
      </c>
      <c r="AM12" s="690">
        <f>IF(ISNUMBER(Datos!N12+DatosP!N16),Datos!N12+DatosP!N16," - ")</f>
        <v>190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4.3630952380952381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2.5502318392581144E-2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137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104</v>
      </c>
      <c r="AE13" s="939">
        <f t="shared" si="1"/>
        <v>0</v>
      </c>
      <c r="AF13" s="939">
        <f t="shared" si="1"/>
        <v>2</v>
      </c>
      <c r="AG13" s="939">
        <f t="shared" si="1"/>
        <v>0</v>
      </c>
      <c r="AH13" s="939">
        <f t="shared" si="1"/>
        <v>1327</v>
      </c>
      <c r="AI13" s="939">
        <f t="shared" si="1"/>
        <v>0</v>
      </c>
      <c r="AJ13" s="939">
        <f t="shared" si="1"/>
        <v>0</v>
      </c>
      <c r="AK13" s="939">
        <f t="shared" si="1"/>
        <v>0</v>
      </c>
      <c r="AL13" s="939">
        <f t="shared" si="1"/>
        <v>152</v>
      </c>
      <c r="AM13" s="939">
        <f t="shared" si="1"/>
        <v>190</v>
      </c>
      <c r="AN13" s="939">
        <f t="shared" si="1"/>
        <v>0</v>
      </c>
      <c r="AO13" s="939">
        <f t="shared" si="1"/>
        <v>0</v>
      </c>
      <c r="AP13" s="944">
        <f>IF(ISNUMBER(((Datos!L13/Datos!K13)*11)/factor_trimestre),((Datos!L13/Datos!K13)*11)/factor_trimestre," - ")</f>
        <v>4.4472049689440993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-0.875</v>
      </c>
      <c r="AU13" s="939" t="str">
        <f>IF(ISNUMBER((DatosP!#REF!-DatosP!#REF!+DatosP!#REF!)/(DatosP!#REF!+DatosP!#REF!-DatosP!#REF!-DatosP!#REF!)),(DatosP!#REF!-DatosP!#REF!+DatosP!#REF!)/(DatosP!#REF!+DatosP!#REF!-DatosP!#REF!-DatosP!#REF!)," - ")</f>
        <v xml:space="preserve"> - </v>
      </c>
      <c r="AV13" s="945">
        <f>SUBTOTAL(9,AV9:AV12)</f>
        <v>2.5502318392581144E-2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3.2967032967032974</v>
      </c>
      <c r="AQ18" s="944">
        <f>IF(ISNUMBER(((Datos!M18/Datos!L18)*11)/factor_trimestre),((Datos!M18/Datos!L18)*11)/factor_trimestre," - ")</f>
        <v>0.36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-6.1538461538461542E-2</v>
      </c>
      <c r="AW18" s="946">
        <f>IF(ISNUMBER((Datos!Q18-Datos!R18)/(Datos!S18-Datos!Q18+Datos!R18)),(Datos!Q18-Datos!R18)/(Datos!S18-Datos!Q18+Datos!R18)," - ")</f>
        <v>-0.12077294685990338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137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104</v>
      </c>
      <c r="AE19" s="957">
        <f t="shared" si="5"/>
        <v>0</v>
      </c>
      <c r="AF19" s="958">
        <f t="shared" si="5"/>
        <v>2</v>
      </c>
      <c r="AG19" s="958">
        <f t="shared" si="5"/>
        <v>0</v>
      </c>
      <c r="AH19" s="958">
        <f t="shared" si="5"/>
        <v>1327</v>
      </c>
      <c r="AI19" s="958">
        <f t="shared" si="5"/>
        <v>0</v>
      </c>
      <c r="AJ19" s="959">
        <f t="shared" si="5"/>
        <v>0</v>
      </c>
      <c r="AK19" s="959">
        <f t="shared" si="5"/>
        <v>0</v>
      </c>
      <c r="AL19" s="951">
        <f t="shared" si="5"/>
        <v>152</v>
      </c>
      <c r="AM19" s="951">
        <f t="shared" si="5"/>
        <v>190</v>
      </c>
      <c r="AN19" s="951">
        <f t="shared" si="5"/>
        <v>0</v>
      </c>
      <c r="AO19" s="951">
        <f t="shared" si="5"/>
        <v>0</v>
      </c>
      <c r="AP19" s="951">
        <f>IF(ISNUMBER(((Datos!L19/Datos!K19)*11)/factor_trimestre),((Datos!L19/Datos!K19)*11)/factor_trimestre," - ")</f>
        <v>3.9527744982290436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1.9780219780219779E-2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83.813284547657872</v>
      </c>
      <c r="AM21" s="736"/>
      <c r="AN21" s="736">
        <f>IF(ISNUMBER(STDEV(AN8:AN18)),STDEV(AN8:AN18),"-")</f>
        <v>0</v>
      </c>
      <c r="AO21" s="742">
        <f>IF(ISNUMBER(STDEV(AO8:AO18)),STDEV(AO8:AO18),"-")</f>
        <v>0</v>
      </c>
      <c r="AP21" s="779">
        <f>IF(ISNUMBER(STDEV(AP8:AP18)),STDEV(AP8:AP18),"-")</f>
        <v>1.6733106784576008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hrg+PrBdsaQwlqNHNCLCbsg7R3lAA9WuLzOWR/iEXLcjpbHbeqyRjRrFQKbeasEXQ5uSNpnVwAw7gC6WrBSQ==" saltValue="ip2801BmssyfukyzMSD23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CORIA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dig8oBFJO1o+ppmE8LwYAY7nnz7jxL8e25f2OMPzARBue/reXPIJRvkHrZI1x1Chbv6EYH/Z0o8J1GjZE8FCkg==" saltValue="dSBW0mc9RXWQj++x6YIV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CORIA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145</v>
      </c>
      <c r="E12" s="404">
        <f t="shared" si="0"/>
        <v>72.5</v>
      </c>
      <c r="F12" s="403">
        <f>IF(ISNUMBER(Datos!N12),Datos!N12," - ")</f>
        <v>190</v>
      </c>
      <c r="G12" s="404">
        <f t="shared" si="1"/>
        <v>95</v>
      </c>
      <c r="H12" s="403">
        <f>IF(ISNUMBER(Datos!O12),Datos!O12," - ")</f>
        <v>217</v>
      </c>
      <c r="I12" s="404">
        <f t="shared" si="2"/>
        <v>108.5</v>
      </c>
      <c r="BZ12" s="1186">
        <f>Datos!EZ12</f>
        <v>0</v>
      </c>
    </row>
    <row r="13" spans="1:78" ht="14.25" thickTop="1" thickBot="1">
      <c r="A13" s="848" t="str">
        <f>Datos!A13</f>
        <v>TOTAL</v>
      </c>
      <c r="B13" s="849">
        <f>Datos!AP13</f>
        <v>2</v>
      </c>
      <c r="C13" s="851">
        <f>Datos!AR13</f>
        <v>2</v>
      </c>
      <c r="D13" s="849">
        <f>SUBTOTAL(9,D9:D12)</f>
        <v>152</v>
      </c>
      <c r="E13" s="850">
        <f t="shared" si="0"/>
        <v>76</v>
      </c>
      <c r="F13" s="849">
        <f>SUBTOTAL(9,F9:F12)</f>
        <v>190</v>
      </c>
      <c r="G13" s="850">
        <f t="shared" si="1"/>
        <v>95</v>
      </c>
      <c r="H13" s="849">
        <f>SUBTOTAL(9,H9:H12)</f>
        <v>219</v>
      </c>
      <c r="I13" s="850">
        <f>IF(ISNUMBER(H13/B13),H13/B13," - ")</f>
        <v>109.5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48</v>
      </c>
      <c r="E16" s="404">
        <f t="shared" si="3"/>
        <v>24</v>
      </c>
      <c r="F16" s="403">
        <f>IF(ISNUMBER(Datos!N16),Datos!N16," - ")</f>
        <v>154</v>
      </c>
      <c r="G16" s="404">
        <f t="shared" si="4"/>
        <v>77</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48</v>
      </c>
      <c r="E18" s="850">
        <f t="shared" si="3"/>
        <v>24</v>
      </c>
      <c r="F18" s="849">
        <f>SUBTOTAL(9,F15:F17)</f>
        <v>157</v>
      </c>
      <c r="G18" s="850">
        <f t="shared" si="4"/>
        <v>78.5</v>
      </c>
      <c r="H18" s="849">
        <f>SUBTOTAL(9,H15:H17)</f>
        <v>10</v>
      </c>
      <c r="I18" s="850">
        <f>IF(ISNUMBER(H18/B18),H18/B18," - ")</f>
        <v>5</v>
      </c>
      <c r="BZ18" s="1186"/>
    </row>
    <row r="19" spans="1:78" ht="14.25" thickTop="1" thickBot="1">
      <c r="A19" s="793" t="str">
        <f>Datos!A19</f>
        <v>TOTAL JURISDICCIONES</v>
      </c>
      <c r="B19" s="794">
        <f>Datos!AP19</f>
        <v>2</v>
      </c>
      <c r="C19" s="794">
        <f>Datos!AR19</f>
        <v>2</v>
      </c>
      <c r="D19" s="794">
        <f>SUBTOTAL(9,D8:D18)</f>
        <v>200</v>
      </c>
      <c r="E19" s="795">
        <f>IF(ISNUMBER(D19/B19),D19/B19," - ")</f>
        <v>100</v>
      </c>
      <c r="F19" s="794">
        <f>SUBTOTAL(9,F8:F18)</f>
        <v>347</v>
      </c>
      <c r="G19" s="795">
        <f>IF(ISNUMBER(F19/B19),F19/B19," - ")</f>
        <v>173.5</v>
      </c>
      <c r="H19" s="794">
        <f>SUBTOTAL(9,H8:H18)</f>
        <v>229</v>
      </c>
      <c r="I19" s="795">
        <f>IF(ISNUMBER(H19/B19),H19/B19," - ")</f>
        <v>114.5</v>
      </c>
    </row>
    <row r="22" spans="1:78">
      <c r="A22" s="391" t="str">
        <f>Criterios!A4</f>
        <v>Fecha Informe: 24 sep. 2024</v>
      </c>
    </row>
    <row r="27" spans="1:78">
      <c r="A27" s="414"/>
    </row>
  </sheetData>
  <sheetProtection algorithmName="SHA-512" hashValue="dPXYA91wyUDDfkdsk20zew1yNOwVZlT9KxomSNTPgP0xGVn3+veHFwpxUoy4SUTW/tGd4LzKp+8Vm0FZywa5OQ==" saltValue="YVWuhqRTNriz/Bi39Ilw2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CORIA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137</v>
      </c>
      <c r="C12" s="434">
        <f>IF(ISNUMBER(Datos!Q12),Datos!Q12," - ")</f>
        <v>104</v>
      </c>
      <c r="D12" s="408">
        <f>IF(ISNUMBER(Datos!R12),Datos!R12," - ")</f>
        <v>1327</v>
      </c>
    </row>
    <row r="13" spans="1:4" ht="14.25" thickTop="1" thickBot="1">
      <c r="A13" s="848" t="str">
        <f>Datos!A13</f>
        <v>TOTAL</v>
      </c>
      <c r="B13" s="849">
        <f>SUBTOTAL(9,B9:B12)</f>
        <v>137</v>
      </c>
      <c r="C13" s="853">
        <f>SUBTOTAL(9,C9:C12)</f>
        <v>106</v>
      </c>
      <c r="D13" s="851">
        <f>SUBTOTAL(9,D9:D12)</f>
        <v>1331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11</v>
      </c>
      <c r="D16" s="408">
        <f>IF(ISNUMBER(Datos!R16),Datos!R16," - ")</f>
        <v>61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11</v>
      </c>
      <c r="D18" s="851">
        <f>SUBTOTAL(9,D15:D17)</f>
        <v>61</v>
      </c>
    </row>
    <row r="19" spans="1:4" ht="16.5" customHeight="1" thickTop="1" thickBot="1">
      <c r="A19" s="793" t="str">
        <f>Datos!A19</f>
        <v>TOTAL JURISDICCIONES</v>
      </c>
      <c r="B19" s="798">
        <f>SUBTOTAL(9,B8:B18)</f>
        <v>144</v>
      </c>
      <c r="C19" s="799">
        <f>SUBTOTAL(9,C8:C18)</f>
        <v>117</v>
      </c>
      <c r="D19" s="800">
        <f>SUBTOTAL(9,D8:D18)</f>
        <v>1392</v>
      </c>
    </row>
    <row r="20" spans="1:4" ht="7.5" customHeight="1"/>
    <row r="21" spans="1:4" ht="6" customHeight="1"/>
    <row r="22" spans="1:4">
      <c r="A22" s="391" t="str">
        <f>Criterios!A4</f>
        <v>Fecha Informe: 24 sep. 2024</v>
      </c>
    </row>
    <row r="27" spans="1:4">
      <c r="A27" s="414"/>
    </row>
  </sheetData>
  <sheetProtection algorithmName="SHA-512" hashValue="V0rZ2MsWVgJq71EHANXX/B8exfNhtsnC/TllQXUlukbfab8mdCGYVRNGDFl+9luFjkkD1BVwibgH0gj+zwOJ3A==" saltValue="QcH/EuyevFX0LeRHXpQO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CORIA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-0.61904761904761907</v>
      </c>
      <c r="C10" s="456" t="str">
        <f>IF(ISNUMBER((Datos!J10-Datos!T10)/Datos!T10),(Datos!J10-Datos!T10)/Datos!T10," - ")</f>
        <v xml:space="preserve"> - </v>
      </c>
      <c r="D10" s="456">
        <f>IF(ISNUMBER((Datos!K10-Datos!U10)/Datos!U10),(Datos!K10-Datos!U10)/Datos!U10," - ")</f>
        <v>2.5</v>
      </c>
      <c r="E10" s="456">
        <f>IF(ISNUMBER((Datos!L10-Datos!V10)/Datos!V10),(Datos!L10-Datos!V10)/Datos!V10," - ")</f>
        <v>-0.89473684210526316</v>
      </c>
      <c r="F10" s="456">
        <f>IF(ISNUMBER((Datos!M10-Datos!W10)/Datos!W10),(Datos!M10-Datos!W10)/Datos!W10," - ")</f>
        <v>2.5</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-0.96992481203007508</v>
      </c>
      <c r="J10" s="461">
        <f>IF(ISNUMBER((('Resol  Asuntos'!D10/NºAsuntos!G10)-Datos!BF10)/Datos!BF10),(('Resol  Asuntos'!D10/NºAsuntos!G10)-Datos!BF10)/Datos!BF10," - ")</f>
        <v>0</v>
      </c>
      <c r="K10" s="462">
        <f>IF(ISNUMBER((((NºAsuntos!C10+NºAsuntos!E10)/NºAsuntos!G10)-Datos!BG10)/Datos!BG10),(((NºAsuntos!C10+NºAsuntos!E10)/NºAsuntos!G10)-Datos!BG10)/Datos!BG10," - ")</f>
        <v>-0.87755102040816324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-3.5928143712574849E-2</v>
      </c>
      <c r="C12" s="456">
        <f>IF(ISNUMBER(
   IF(J_V="SI",(Datos!J12-Datos!T12)/Datos!T12,(Datos!J12+Datos!Z12-(Datos!T12+Datos!AH12))/(Datos!T12+Datos!AH12))
     ),IF(J_V="SI",(Datos!J12-Datos!T12)/Datos!T12,(Datos!J12+Datos!Z12-(Datos!T12+Datos!AH12))/(Datos!T12+Datos!AH12))," - ")</f>
        <v>0.20845070422535211</v>
      </c>
      <c r="D12" s="456">
        <f>IF(ISNUMBER(
   IF(J_V="SI",(Datos!K12-Datos!U12)/Datos!U12,(Datos!K12+Datos!AA12-(Datos!U12+Datos!AI12))/(Datos!U12+Datos!AI12))
     ),IF(J_V="SI",(Datos!K12-Datos!U12)/Datos!U12,(Datos!K12+Datos!AA12-(Datos!U12+Datos!AI12))/(Datos!U12+Datos!AI12))," - ")</f>
        <v>0.57993730407523514</v>
      </c>
      <c r="E12" s="456">
        <f>IF(ISNUMBER(
   IF(J_V="SI",(Datos!L12-Datos!V12)/Datos!V12,(Datos!L12+Datos!AB12-(Datos!V12+Datos!AJ12))/(Datos!V12+Datos!AJ12))
     ),IF(J_V="SI",(Datos!L12-Datos!V12)/Datos!V12,(Datos!L12+Datos!AB12-(Datos!V12+Datos!AJ12))/(Datos!V12+Datos!AJ12))," - ")</f>
        <v>-6.6242038216560509E-2</v>
      </c>
      <c r="F12" s="456">
        <f>IF(ISNUMBER((Datos!M12-Datos!W12)/Datos!W12),(Datos!M12-Datos!W12)/Datos!W12," - ")</f>
        <v>0.51041666666666663</v>
      </c>
      <c r="G12" s="457">
        <f>IF(ISNUMBER((Datos!N12-Datos!X12)/Datos!X12),(Datos!N12-Datos!X12)/Datos!X12," - ")</f>
        <v>0.532258064516129</v>
      </c>
      <c r="H12" s="455">
        <f>IF(ISNUMBER(((NºAsuntos!G12/NºAsuntos!E12)-Datos!BD12)/Datos!BD12),((NºAsuntos!G12/NºAsuntos!E12)-Datos!BD12)/Datos!BD12," - ")</f>
        <v>0.30740732621610356</v>
      </c>
      <c r="I12" s="456">
        <f>IF(ISNUMBER(((NºAsuntos!I12/NºAsuntos!G12)-Datos!BE12)/Datos!BE12),((NºAsuntos!I12/NºAsuntos!G12)-Datos!BE12)/Datos!BE12," - ")</f>
        <v>-0.40899049641087859</v>
      </c>
      <c r="J12" s="461">
        <f>IF(ISNUMBER((('Resol  Asuntos'!D12/NºAsuntos!G12)-Datos!BF12)/Datos!BF12),(('Resol  Asuntos'!D12/NºAsuntos!G12)-Datos!BF12)/Datos!BF12," - ")</f>
        <v>-0.25987263184843828</v>
      </c>
      <c r="K12" s="462">
        <f>IF(ISNUMBER((((NºAsuntos!C12+NºAsuntos!E12)/NºAsuntos!G12)-Datos!BG12)/Datos!BG12),(((NºAsuntos!C12+NºAsuntos!E12)/NºAsuntos!G12)-Datos!BG12)/Datos!BG12," - ")</f>
        <v>-0.34366079765239427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-5.0233644859813083E-2</v>
      </c>
      <c r="C13" s="855">
        <f>IF(ISNUMBER(
   IF(J_V="SI",(Datos!J13-Datos!T13)/Datos!T13,(Datos!J13+Datos!Z13-(Datos!T13+Datos!AH13))/(Datos!T13+Datos!AH13))
     ),IF(J_V="SI",(Datos!J13-Datos!T13)/Datos!T13,(Datos!J13+Datos!Z13-(Datos!T13+Datos!AH13))/(Datos!T13+Datos!AH13))," - ")</f>
        <v>0.21126760563380281</v>
      </c>
      <c r="D13" s="855">
        <f>IF(ISNUMBER(
   IF(J_V="SI",(Datos!K13-Datos!U13)/Datos!U13,(Datos!K13+Datos!AA13-(Datos!U13+Datos!AI13))/(Datos!U13+Datos!AI13))
     ),IF(J_V="SI",(Datos!K13-Datos!U13)/Datos!U13,(Datos!K13+Datos!AA13-(Datos!U13+Datos!AI13))/(Datos!U13+Datos!AI13))," - ")</f>
        <v>0.59190031152647971</v>
      </c>
      <c r="E13" s="855">
        <f>IF(ISNUMBER(
   IF(J_V="SI",(Datos!L13-Datos!V13)/Datos!V13,(Datos!L13+Datos!AB13-(Datos!V13+Datos!AJ13))/(Datos!V13+Datos!AJ13))
     ),IF(J_V="SI",(Datos!L13-Datos!V13)/Datos!V13,(Datos!L13+Datos!AB13-(Datos!V13+Datos!AJ13))/(Datos!V13+Datos!AJ13))," - ")</f>
        <v>-8.5820895522388058E-2</v>
      </c>
      <c r="F13" s="856">
        <f>IF(ISNUMBER((Datos!M13-Datos!W13)/Datos!W13),(Datos!M13-Datos!W13)/Datos!W13," - ")</f>
        <v>0.55102040816326525</v>
      </c>
      <c r="G13" s="857">
        <f>IF(ISNUMBER((Datos!N13-Datos!X13)/Datos!X13),(Datos!N13-Datos!X13)/Datos!X13," - ")</f>
        <v>0.532258064516129</v>
      </c>
      <c r="H13" s="857">
        <f>IF(ISNUMBER(((NºAsuntos!G13/NºAsuntos!E13)-Datos!BD13)/Datos!BD13),((NºAsuntos!G13/NºAsuntos!E13)-Datos!BD13)/Datos!BD13," - ")</f>
        <v>0.31424328044627969</v>
      </c>
      <c r="I13" s="857">
        <f>IF(ISNUMBER(((NºAsuntos!I13/NºAsuntos!G13)-Datos!BE13)/Datos!BE13),((NºAsuntos!I13/NºAsuntos!G13)-Datos!BE13)/Datos!BE13," - ")</f>
        <v>-0.42573093436924964</v>
      </c>
      <c r="J13" s="857">
        <f>IF(ISNUMBER((('Resol  Asuntos'!D13/NºAsuntos!G13)-Datos!BF13)/Datos!BF13),(('Resol  Asuntos'!D13/NºAsuntos!G13)-Datos!BF13)/Datos!BF13," - ")</f>
        <v>-0.24219550834032244</v>
      </c>
      <c r="K13" s="857">
        <f>IF(ISNUMBER((((NºAsuntos!C13+NºAsuntos!E13)/NºAsuntos!G13)-Datos!BG13)/Datos!BG13),(((NºAsuntos!C13+NºAsuntos!E13)/NºAsuntos!G13)-Datos!BG13)/Datos!BG13," - ")</f>
        <v>-0.35522065346845044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0.38596491228070173</v>
      </c>
      <c r="C16" s="456">
        <f>IF(ISNUMBER(
   IF(D_I="SI",(Datos!J16-Datos!T16)/Datos!T16,(Datos!J16+Datos!AD16-(Datos!T16+Datos!AL16))/(Datos!T16+Datos!AL16))
     ),IF(D_I="SI",(Datos!J16-Datos!T16)/Datos!T16,(Datos!J16+Datos!AD16-(Datos!T16+Datos!AL16))/(Datos!T16+Datos!AL16))," - ")</f>
        <v>1.65016501650165E-2</v>
      </c>
      <c r="D16" s="456">
        <f>IF(ISNUMBER(
   IF(D_I="SI",(Datos!K16-Datos!U16)/Datos!U16,(Datos!K16+Datos!AE16-(Datos!U16+Datos!AM16))/(Datos!U16+Datos!AM16))
     ),IF(D_I="SI",(Datos!K16-Datos!U16)/Datos!U16,(Datos!K16+Datos!AE16-(Datos!U16+Datos!AM16))/(Datos!U16+Datos!AM16))," - ")</f>
        <v>5.3124999999999999E-2</v>
      </c>
      <c r="E16" s="456">
        <f>IF(ISNUMBER(
   IF(D_I="SI",(Datos!L16-Datos!V16)/Datos!V16,(Datos!L16+Datos!AF16-(Datos!V16+Datos!AN16))/(Datos!V16+Datos!AN16))
     ),IF(D_I="SI",(Datos!L16-Datos!V16)/Datos!V16,(Datos!L16+Datos!AF16-(Datos!V16+Datos!AN16))/(Datos!V16+Datos!AN16))," - ")</f>
        <v>-6.7331670822942641E-2</v>
      </c>
      <c r="F16" s="456">
        <f>IF(ISNUMBER((Datos!M16-Datos!W16)/Datos!W16),(Datos!M16-Datos!W16)/Datos!W16," - ")</f>
        <v>0.29729729729729731</v>
      </c>
      <c r="G16" s="457">
        <f>IF(ISNUMBER((Datos!N16-Datos!X16)/Datos!X16),(Datos!N16-Datos!X16)/Datos!X16," - ")</f>
        <v>-0.14444444444444443</v>
      </c>
      <c r="H16" s="455">
        <f>IF(ISNUMBER(((NºAsuntos!G16/NºAsuntos!E16)-Datos!BD16)/Datos!BD16),((NºAsuntos!G16/NºAsuntos!E16)-Datos!BD16)/Datos!BD16," - ")</f>
        <v>3.6028814935064983E-2</v>
      </c>
      <c r="I16" s="456">
        <f>IF(ISNUMBER(((NºAsuntos!I16/NºAsuntos!G16)-Datos!BE16)/Datos!BE16),((NºAsuntos!I16/NºAsuntos!G16)-Datos!BE16)/Datos!BE16," - ")</f>
        <v>-0.11438022155294268</v>
      </c>
      <c r="J16" s="461">
        <f>IF(ISNUMBER((('Resol  Asuntos'!D16/NºAsuntos!G16)-Datos!BF16)/Datos!BF16),(('Resol  Asuntos'!D16/NºAsuntos!G16)-Datos!BF16)/Datos!BF16," - ")</f>
        <v>0.23185500040099447</v>
      </c>
      <c r="K16" s="462">
        <f>IF(ISNUMBER((((NºAsuntos!C16+NºAsuntos!E16)/NºAsuntos!G16)-Datos!BG16)/Datos!BG16),(((NºAsuntos!C16+NºAsuntos!E16)/NºAsuntos!G16)-Datos!BG16)/Datos!BG16," - ")</f>
        <v>0.13526716324512006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-0.48101265822784811</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0.6875</v>
      </c>
      <c r="E17" s="456">
        <f>IF(ISNUMBER(
   IF(D_I="SI",(Datos!L17-Datos!V17)/Datos!V17,(Datos!L17+Datos!AF17-(Datos!V17+Datos!AN17))/(Datos!V17+Datos!AN17))
     ),IF(D_I="SI",(Datos!L17-Datos!V17)/Datos!V17,(Datos!L17+Datos!AF17-(Datos!V17+Datos!AN17))/(Datos!V17+Datos!AN17))," - ")</f>
        <v>-0.63380281690140849</v>
      </c>
      <c r="F17" s="456" t="str">
        <f>IF(ISNUMBER((Datos!M17-Datos!W17)/Datos!W17),(Datos!M17-Datos!W17)/Datos!W17," - ")</f>
        <v xml:space="preserve"> - </v>
      </c>
      <c r="G17" s="457">
        <f>IF(ISNUMBER((Datos!N17-Datos!X17)/Datos!X17),(Datos!N17-Datos!X17)/Datos!X17," - ")</f>
        <v>2</v>
      </c>
      <c r="H17" s="455">
        <f>IF(ISNUMBER(((NºAsuntos!G17/NºAsuntos!E17)-Datos!BD17)/Datos!BD17),((NºAsuntos!G17/NºAsuntos!E17)-Datos!BD17)/Datos!BD17," - ")</f>
        <v>0.125</v>
      </c>
      <c r="I17" s="456">
        <f>IF(ISNUMBER(((NºAsuntos!I17/NºAsuntos!G17)-Datos!BE17)/Datos!BE17),((NºAsuntos!I17/NºAsuntos!G17)-Datos!BE17)/Datos!BE17," - ")</f>
        <v>-0.78299426186750132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-0.6389953171562367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0.19780219780219779</v>
      </c>
      <c r="C18" s="855">
        <f>IF(ISNUMBER(
   IF(Criterios!B14="SI",(Datos!J18-Datos!T18)/Datos!T18,(Datos!J18+Datos!AD18-(Datos!T18+Datos!AL18))/(Datos!T18+Datos!AL18))
     ),IF(Criterios!B14="SI",(Datos!J18-Datos!T18)/Datos!T18,(Datos!J18+Datos!AD18-(Datos!T18+Datos!AL18))/(Datos!T18+Datos!AL18))," - ")</f>
        <v>2.8938906752411574E-2</v>
      </c>
      <c r="D18" s="855">
        <f>IF(ISNUMBER(
   IF(Criterios!B14="SI",(Datos!K18-Datos!U18)/Datos!U18,(Datos!K18+Datos!AE18-(Datos!U18+Datos!AM18))/(Datos!U18+Datos!AM18))
     ),IF(Criterios!B14="SI",(Datos!K18-Datos!U18)/Datos!U18,(Datos!K18+Datos!AE18-(Datos!U18+Datos!AM18))/(Datos!U18+Datos!AM18))," - ")</f>
        <v>8.3333333333333329E-2</v>
      </c>
      <c r="E18" s="855">
        <f>IF(ISNUMBER(
   IF(Criterios!B14="SI",(Datos!L18-Datos!V18)/Datos!V18,(Datos!L18+Datos!AF18-(Datos!V18+Datos!AN18))/(Datos!V18+Datos!AN18))
     ),IF(Criterios!B14="SI",(Datos!L18-Datos!V18)/Datos!V18,(Datos!L18+Datos!AF18-(Datos!V18+Datos!AN18))/(Datos!V18+Datos!AN18))," - ")</f>
        <v>-0.15254237288135594</v>
      </c>
      <c r="F18" s="856">
        <f>IF(ISNUMBER((Datos!M18-Datos!W18)/Datos!W18),(Datos!M18-Datos!W18)/Datos!W18," - ")</f>
        <v>0.29729729729729731</v>
      </c>
      <c r="G18" s="857">
        <f>IF(ISNUMBER((Datos!N18-Datos!X18)/Datos!X18),(Datos!N18-Datos!X18)/Datos!X18," - ")</f>
        <v>-0.13259668508287292</v>
      </c>
      <c r="H18" s="857">
        <f>IF(ISNUMBER(((NºAsuntos!G18/NºAsuntos!E18)-Datos!BD18)/Datos!BD18),((NºAsuntos!G18/NºAsuntos!E18)-Datos!BD18)/Datos!BD18," - ")</f>
        <v>5.2864583333333208E-2</v>
      </c>
      <c r="I18" s="857">
        <f>IF(ISNUMBER(((NºAsuntos!I18/NºAsuntos!G18)-Datos!BE18)/Datos!BE18),((NºAsuntos!I18/NºAsuntos!G18)-Datos!BE18)/Datos!BE18," - ")</f>
        <v>-0.21773142112125152</v>
      </c>
      <c r="J18" s="857">
        <f>IF(ISNUMBER((('Resol  Asuntos'!D18/NºAsuntos!G18)-Datos!BF18)/Datos!BF18),(('Resol  Asuntos'!D18/NºAsuntos!G18)-Datos!BF18)/Datos!BF18," - ")</f>
        <v>0.19750519750519757</v>
      </c>
      <c r="K18" s="857">
        <f>IF(ISNUMBER((((NºAsuntos!C18+NºAsuntos!E18)/NºAsuntos!G18)-Datos!BG18)/Datos!BG18),(((NºAsuntos!C18+NºAsuntos!E18)/NºAsuntos!G18)-Datos!BG18)/Datos!BG18," - ")</f>
        <v>3.3846153846153831E-2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2.3770491803278688E-2</v>
      </c>
      <c r="C19" s="802">
        <f>IF(ISNUMBER(
   IF(J_V="SI",(Datos!J19-Datos!T19)/Datos!T19,(Datos!J19+Datos!Z19-(Datos!T19+Datos!AH19))/(Datos!T19+Datos!AH19))
     ),IF(J_V="SI",(Datos!J19-Datos!T19)/Datos!T19,(Datos!J19+Datos!Z19-(Datos!T19+Datos!AH19))/(Datos!T19+Datos!AH19))," - ")</f>
        <v>0.12612612612612611</v>
      </c>
      <c r="D19" s="802">
        <f>IF(ISNUMBER(
   IF(J_V="SI",(Datos!K19-Datos!U19)/Datos!U19,(Datos!K19+Datos!AA19-(Datos!U19+Datos!AI19))/(Datos!U19+Datos!AI19))
     ),IF(J_V="SI",(Datos!K19-Datos!U19)/Datos!U19,(Datos!K19+Datos!AA19-(Datos!U19+Datos!AI19))/(Datos!U19+Datos!AI19))," - ")</f>
        <v>0.33181126331811261</v>
      </c>
      <c r="E19" s="802">
        <f>IF(ISNUMBER(
   IF(J_V="SI",(Datos!L19-Datos!V19)/Datos!V19,(Datos!L19+Datos!AB19-(Datos!V19+Datos!AJ19))/(Datos!V19+Datos!AJ19))
     ),IF(J_V="SI",(Datos!L19-Datos!V19)/Datos!V19,(Datos!L19+Datos!AB19-(Datos!V19+Datos!AJ19))/(Datos!V19+Datos!AJ19))," - ")</f>
        <v>-0.11050156739811912</v>
      </c>
      <c r="F19" s="803">
        <f>IF(ISNUMBER((Datos!M19-Datos!W19)/Datos!W19),(Datos!M19-Datos!W19)/Datos!W19," - ")</f>
        <v>0.48148148148148145</v>
      </c>
      <c r="G19" s="804">
        <f>IF(ISNUMBER((Datos!N19-Datos!X19)/Datos!X19),(Datos!N19-Datos!X19)/Datos!X19," - ")</f>
        <v>0.13770491803278689</v>
      </c>
      <c r="H19" s="805">
        <f>IF(ISNUMBER((Tasas!B19-Datos!BD19)/Datos!BD19),(Tasas!B19-Datos!BD19)/Datos!BD19," - ")</f>
        <v>0.18264840182648406</v>
      </c>
      <c r="I19" s="806">
        <f>IF(ISNUMBER((Tasas!C19-Datos!BE19)/Datos!BE19),(Tasas!C19-Datos!BE19)/Datos!BE19," - ")</f>
        <v>-0.33211374832064483</v>
      </c>
      <c r="J19" s="807">
        <f>IF(ISNUMBER((Tasas!D19-Datos!BF19)/Datos!BF19),(Tasas!D19-Datos!BF19)/Datos!BF19," - ")</f>
        <v>-7.8702892199824695E-2</v>
      </c>
      <c r="K19" s="807">
        <f>IF(ISNUMBER((Tasas!E19-Datos!BG19)/Datos!BG19),(Tasas!E19-Datos!BG19)/Datos!BG19," - ")</f>
        <v>-0.20415512801090743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6cOsUYPssx2Sm1QC31kxCSzysWS0rPpTCWUVBkCNeoxrPMUz7iC5ozhoQxjEH6marRARuWIen94lic4lDfOw==" saltValue="owsrMMP3uC68/xNYwRzUw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CORIA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7</v>
      </c>
      <c r="C10" s="443">
        <f>IF(ISNUMBER(NºAsuntos!I10/NºAsuntos!G10),NºAsuntos!I10/NºAsuntos!G10," - ")</f>
        <v>0.2857142857142857</v>
      </c>
      <c r="D10" s="444">
        <f>IF(ISNUMBER('Resol  Asuntos'!D10/NºAsuntos!G10),'Resol  Asuntos'!D10/NºAsuntos!G10," - ")</f>
        <v>1</v>
      </c>
      <c r="E10" s="445">
        <f>IF(ISNUMBER((NºAsuntos!C10+NºAsuntos!E10)/NºAsuntos!G10),(NºAsuntos!C10+NºAsuntos!E10)/NºAsuntos!G10," - ")</f>
        <v>1.2857142857142858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1.1748251748251748</v>
      </c>
      <c r="C12" s="443">
        <f>IF(ISNUMBER(NºAsuntos!I12/NºAsuntos!G12),NºAsuntos!I12/NºAsuntos!G12," - ")</f>
        <v>1.4543650793650793</v>
      </c>
      <c r="D12" s="444">
        <f>IF(ISNUMBER('Resol  Asuntos'!D12/NºAsuntos!G12),'Resol  Asuntos'!D12/NºAsuntos!G12," - ")</f>
        <v>0.28769841269841268</v>
      </c>
      <c r="E12" s="445">
        <f>IF(ISNUMBER((NºAsuntos!C12+NºAsuntos!E12)/NºAsuntos!G12),(NºAsuntos!C12+NºAsuntos!E12)/NºAsuntos!G12," - ")</f>
        <v>2.4484126984126986</v>
      </c>
      <c r="G12" s="463"/>
    </row>
    <row r="13" spans="1:7" ht="14.25" thickTop="1" thickBot="1">
      <c r="A13" s="848" t="str">
        <f>Datos!A13</f>
        <v>TOTAL</v>
      </c>
      <c r="B13" s="858">
        <f>IF(ISNUMBER(NºAsuntos!G13/NºAsuntos!E13),NºAsuntos!G13/NºAsuntos!E13," - ")</f>
        <v>1.1883720930232557</v>
      </c>
      <c r="C13" s="859">
        <f>IF(ISNUMBER(NºAsuntos!I13/NºAsuntos!G13),NºAsuntos!I13/NºAsuntos!G13," - ")</f>
        <v>1.4383561643835616</v>
      </c>
      <c r="D13" s="860">
        <f>IF(ISNUMBER('Resol  Asuntos'!D13/NºAsuntos!G13),'Resol  Asuntos'!D13/NºAsuntos!G13," - ")</f>
        <v>0.29745596868884538</v>
      </c>
      <c r="E13" s="861">
        <f>IF(ISNUMBER((NºAsuntos!C13+NºAsuntos!E13)/NºAsuntos!G13),(NºAsuntos!C13+NºAsuntos!E13)/NºAsuntos!G13," - ")</f>
        <v>2.4324853228962819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1.0941558441558441</v>
      </c>
      <c r="C16" s="443">
        <f>IF(ISNUMBER(NºAsuntos!I16/NºAsuntos!G16),NºAsuntos!I16/NºAsuntos!G16," - ")</f>
        <v>1.1097922848664687</v>
      </c>
      <c r="D16" s="444">
        <f>IF(ISNUMBER('Resol  Asuntos'!D16/NºAsuntos!G16),'Resol  Asuntos'!D16/NºAsuntos!G16," - ")</f>
        <v>0.14243323442136499</v>
      </c>
      <c r="E16" s="445">
        <f>IF(ISNUMBER((NºAsuntos!C16+NºAsuntos!E16)/NºAsuntos!G16),(NºAsuntos!C16+NºAsuntos!E16)/NºAsuntos!G16," - ")</f>
        <v>2.086053412462908</v>
      </c>
      <c r="G16" s="463"/>
    </row>
    <row r="17" spans="1:7" ht="13.5" thickBot="1">
      <c r="A17" s="402" t="str">
        <f>Datos!A17</f>
        <v>Jdos. Violencia contra la mujer</v>
      </c>
      <c r="B17" s="442">
        <f>IF(ISNUMBER(NºAsuntos!G17/NºAsuntos!E17),NºAsuntos!G17/NºAsuntos!E17," - ")</f>
        <v>2.25</v>
      </c>
      <c r="C17" s="443">
        <f>IF(ISNUMBER(NºAsuntos!I17/NºAsuntos!G17),NºAsuntos!I17/NºAsuntos!G17," - ")</f>
        <v>0.96296296296296291</v>
      </c>
      <c r="D17" s="444">
        <f>IF(ISNUMBER('Resol  Asuntos'!D17/NºAsuntos!G17),'Resol  Asuntos'!D17/NºAsuntos!G17," - ")</f>
        <v>0</v>
      </c>
      <c r="E17" s="445">
        <f>IF(ISNUMBER((NºAsuntos!C17+NºAsuntos!E17)/NºAsuntos!G17),(NºAsuntos!C17+NºAsuntos!E17)/NºAsuntos!G17," - ")</f>
        <v>1.962962962962963</v>
      </c>
      <c r="G17" s="463"/>
    </row>
    <row r="18" spans="1:7" ht="14.25" thickTop="1" thickBot="1">
      <c r="A18" s="848" t="str">
        <f>Datos!A18</f>
        <v>TOTAL</v>
      </c>
      <c r="B18" s="858">
        <f>IF(ISNUMBER(NºAsuntos!G18/NºAsuntos!E18),NºAsuntos!G18/NºAsuntos!E18," - ")</f>
        <v>1.1375</v>
      </c>
      <c r="C18" s="859">
        <f>IF(ISNUMBER(NºAsuntos!I18/NºAsuntos!G18),NºAsuntos!I18/NºAsuntos!G18," - ")</f>
        <v>1.098901098901099</v>
      </c>
      <c r="D18" s="862">
        <f>IF(ISNUMBER('Resol  Asuntos'!D18/NºAsuntos!G18),'Resol  Asuntos'!D18/NºAsuntos!G18," - ")</f>
        <v>0.13186813186813187</v>
      </c>
      <c r="E18" s="861">
        <f>IF(ISNUMBER((NºAsuntos!C18+NºAsuntos!E18)/NºAsuntos!G18),(NºAsuntos!C18+NºAsuntos!E18)/NºAsuntos!G18," - ")</f>
        <v>2.0769230769230771</v>
      </c>
      <c r="G18" s="463"/>
    </row>
    <row r="19" spans="1:7" ht="15.75" customHeight="1" thickTop="1" thickBot="1">
      <c r="A19" s="793" t="str">
        <f>Datos!A19</f>
        <v>TOTAL JURISDICCIONES</v>
      </c>
      <c r="B19" s="808">
        <f>IF(ISNUMBER(NºAsuntos!G19/NºAsuntos!E19),NºAsuntos!G19/NºAsuntos!E19," - ")</f>
        <v>1.1666666666666667</v>
      </c>
      <c r="C19" s="809">
        <f>IF(ISNUMBER(NºAsuntos!I19/NºAsuntos!G19),NºAsuntos!I19/NºAsuntos!G19," - ")</f>
        <v>1.2971428571428572</v>
      </c>
      <c r="D19" s="810">
        <f>IF(ISNUMBER('Resol  Asuntos'!D19/NºAsuntos!G19),'Resol  Asuntos'!D19/NºAsuntos!G19," - ")</f>
        <v>0.22857142857142856</v>
      </c>
      <c r="E19" s="811">
        <f>IF(ISNUMBER((NºAsuntos!C19+NºAsuntos!E19)/NºAsuntos!G19),(NºAsuntos!C19+NºAsuntos!E19)/NºAsuntos!G19," - ")</f>
        <v>2.2845714285714287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ch0bh+lx4K7l3KUoApd0WGaEiWXYeTBJrBlLjfZxrYPmWjCE7IfxeKlB1Vtbulxjliyr2O3EEy8p7gOJeMhjQ==" saltValue="jYj33sDI3bz20/JvBpbQ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CORIA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2</v>
      </c>
      <c r="Y10" s="334">
        <f t="shared" ref="Y10:Y12" si="0">SUM(W10:X10)</f>
        <v>9</v>
      </c>
      <c r="Z10" s="335" t="str">
        <f>IF(ISNUMBER(Datos!CC10),Datos!CC10," - ")</f>
        <v xml:space="preserve"> - </v>
      </c>
      <c r="AA10" s="332">
        <f>IF(ISNUMBER(Datos!L10),Datos!L10,"-")</f>
        <v>2</v>
      </c>
      <c r="AB10" s="334">
        <f>IF(ISNUMBER(Datos!R10),Datos!R10," - ")</f>
        <v>4</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7</v>
      </c>
      <c r="AM10" s="260">
        <f>IF(ISNUMBER(((NºAsuntos!I10/NºAsuntos!G10)*11)/factor_trimestre),((NºAsuntos!I10/NºAsuntos!G10)*11)/factor_trimestre," - ")</f>
        <v>0.85714285714285721</v>
      </c>
      <c r="AN10" s="244">
        <f>IF(ISNUMBER('Resol  Asuntos'!D10/NºAsuntos!G10),'Resol  Asuntos'!D10/NºAsuntos!G10," - ")</f>
        <v>1</v>
      </c>
      <c r="AO10" s="245">
        <f>IF(ISNUMBER((NºAsuntos!C10+NºAsuntos!E10)/NºAsuntos!G10),(NºAsuntos!C10+NºAsuntos!E10)/NºAsuntos!G10," - ")</f>
        <v>1.2857142857142858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104</v>
      </c>
      <c r="Y12" s="334">
        <f t="shared" si="0"/>
        <v>104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145</v>
      </c>
      <c r="AJ12" s="229" t="str">
        <f>IF(ISNUMBER(Datos!BW12),Datos!BW12," - ")</f>
        <v xml:space="preserve"> - </v>
      </c>
      <c r="AK12" s="228" t="str">
        <f>IF(ISNUMBER(Datos!BX12),Datos!BX12," - ")</f>
        <v xml:space="preserve"> - </v>
      </c>
      <c r="AL12" s="243">
        <f>IF(ISNUMBER(NºAsuntos!G12/NºAsuntos!E12),NºAsuntos!G12/NºAsuntos!E12," - ")</f>
        <v>1.1748251748251748</v>
      </c>
      <c r="AM12" s="260">
        <f>IF(ISNUMBER(((NºAsuntos!I12/NºAsuntos!G12)*11)/factor_trimestre),((NºAsuntos!I12/NºAsuntos!G12)*11)/factor_trimestre," - ")</f>
        <v>4.3630952380952381</v>
      </c>
      <c r="AN12" s="244">
        <f>IF(ISNUMBER('Resol  Asuntos'!D12/NºAsuntos!G12),'Resol  Asuntos'!D12/NºAsuntos!G12," - ")</f>
        <v>0.28769841269841268</v>
      </c>
      <c r="AO12" s="245">
        <f>IF(ISNUMBER((NºAsuntos!C12+NºAsuntos!E12)/NºAsuntos!G12),(NºAsuntos!C12+NºAsuntos!E12)/NºAsuntos!G12," - ")</f>
        <v>2.4484126984126986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137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106</v>
      </c>
      <c r="Y13" s="868">
        <f t="shared" si="4"/>
        <v>113</v>
      </c>
      <c r="Z13" s="868">
        <f t="shared" si="4"/>
        <v>0</v>
      </c>
      <c r="AA13" s="868">
        <f t="shared" si="4"/>
        <v>2</v>
      </c>
      <c r="AB13" s="868">
        <f t="shared" si="4"/>
        <v>1331</v>
      </c>
      <c r="AC13" s="868">
        <f t="shared" si="4"/>
        <v>6</v>
      </c>
      <c r="AD13" s="868">
        <f t="shared" si="4"/>
        <v>0</v>
      </c>
      <c r="AE13" s="872">
        <f t="shared" si="4"/>
        <v>0</v>
      </c>
      <c r="AF13" s="865">
        <f t="shared" si="4"/>
        <v>0</v>
      </c>
      <c r="AG13" s="873">
        <f t="shared" si="4"/>
        <v>0</v>
      </c>
      <c r="AH13" s="870">
        <f t="shared" si="4"/>
        <v>0</v>
      </c>
      <c r="AI13" s="865">
        <f t="shared" si="4"/>
        <v>152</v>
      </c>
      <c r="AJ13" s="867">
        <f t="shared" si="4"/>
        <v>0</v>
      </c>
      <c r="AK13" s="870">
        <f>SUBTOTAL(9,AK9:AK12)</f>
        <v>0</v>
      </c>
      <c r="AL13" s="874">
        <f>IF(ISNUMBER(NºAsuntos!G13/NºAsuntos!E13),NºAsuntos!G13/NºAsuntos!E13," - ")</f>
        <v>1.1883720930232557</v>
      </c>
      <c r="AM13" s="874">
        <f>IF(ISNUMBER(((NºAsuntos!I13/NºAsuntos!G13)*11)/factor_trimestre),((NºAsuntos!I13/NºAsuntos!G13)*11)/factor_trimestre," - ")</f>
        <v>4.3150684931506849</v>
      </c>
      <c r="AN13" s="875">
        <f>IF(ISNUMBER('Resol  Asuntos'!D13/NºAsuntos!G13),'Resol  Asuntos'!D13/NºAsuntos!G13," - ")</f>
        <v>0.29745596868884538</v>
      </c>
      <c r="AO13" s="876">
        <f>IF(ISNUMBER((NºAsuntos!C13+NºAsuntos!E13)/NºAsuntos!G13),(NºAsuntos!C13+NºAsuntos!E13)/NºAsuntos!G13," - ")</f>
        <v>2.4324853228962819</v>
      </c>
      <c r="AP13" s="877" t="str">
        <f t="shared" si="2"/>
        <v xml:space="preserve"> - </v>
      </c>
      <c r="AQ13" s="877">
        <f>IF(ISNUMBER((H13-W13+K13)/(F13)),(H13-W13+K13)/(F13)," - ")</f>
        <v>-0.875</v>
      </c>
      <c r="AR13" s="878">
        <f>IF(ISNUMBER((Datos!P13-Datos!Q13)/(Datos!R13-Datos!P13+Datos!Q13)),(Datos!P13-Datos!Q13)/(Datos!R13-Datos!P13+Datos!Q13)," - ")</f>
        <v>2.3846153846153847E-2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403</v>
      </c>
      <c r="G16" s="333">
        <f>IF(ISNUMBER(IF(D_I="SI",Datos!I16,Datos!I16+Datos!AC16)),IF(D_I="SI",Datos!I16,Datos!I16+Datos!AC16)," - ")</f>
        <v>395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337</v>
      </c>
      <c r="X16" s="226">
        <f>IF(ISNUMBER(Datos!Q16),Datos!Q16," - ")</f>
        <v>11</v>
      </c>
      <c r="Y16" s="334">
        <f t="shared" ref="Y16:Y17" si="7">SUM(W16:X16)</f>
        <v>348</v>
      </c>
      <c r="Z16" s="335" t="str">
        <f>IF(ISNUMBER(Datos!CC16),Datos!CC16," - ")</f>
        <v xml:space="preserve"> - </v>
      </c>
      <c r="AA16" s="332">
        <f>IF(ISNUMBER(IF(D_I="SI",Datos!L16,Datos!L16+Datos!AF16)),IF(D_I="SI",Datos!L16,Datos!L16+Datos!AF16)," - ")</f>
        <v>374</v>
      </c>
      <c r="AB16" s="334">
        <f>IF(ISNUMBER(Datos!R16),Datos!R16," - ")</f>
        <v>61</v>
      </c>
      <c r="AC16" s="334">
        <f t="shared" si="6"/>
        <v>435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v>
      </c>
      <c r="AJ16" s="231" t="str">
        <f>IF(ISNUMBER(Datos!BW16),Datos!BW16," - ")</f>
        <v xml:space="preserve"> - </v>
      </c>
      <c r="AK16" s="232" t="str">
        <f>IF(ISNUMBER(Datos!BX16),Datos!BX16," - ")</f>
        <v xml:space="preserve"> - </v>
      </c>
      <c r="AL16" s="243">
        <f>IF(ISNUMBER(NºAsuntos!G16/NºAsuntos!E16),NºAsuntos!G16/NºAsuntos!E16," - ")</f>
        <v>1.0941558441558441</v>
      </c>
      <c r="AM16" s="260">
        <f>IF(ISNUMBER(((NºAsuntos!I16/NºAsuntos!G16)*11)/factor_trimestre),((NºAsuntos!I16/NºAsuntos!G16)*11)/factor_trimestre," - ")</f>
        <v>3.3293768545994062</v>
      </c>
      <c r="AN16" s="244">
        <f>IF(ISNUMBER('Resol  Asuntos'!D16/NºAsuntos!G16),'Resol  Asuntos'!D16/NºAsuntos!G16," - ")</f>
        <v>0.14243323442136499</v>
      </c>
      <c r="AO16" s="245">
        <f>IF(ISNUMBER((NºAsuntos!C16+NºAsuntos!E16)/NºAsuntos!G16),(NºAsuntos!C16+NºAsuntos!E16)/NºAsuntos!G16," - ")</f>
        <v>2.086053412462908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26</v>
      </c>
      <c r="AB17" s="334">
        <f>IF(ISNUMBER(Datos!R17),Datos!R17," - ")</f>
        <v>0</v>
      </c>
      <c r="AC17" s="334">
        <f t="shared" si="6"/>
        <v>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2.25</v>
      </c>
      <c r="AM17" s="260">
        <f>IF(ISNUMBER(((NºAsuntos!I17/NºAsuntos!G17)*11)/factor_trimestre),((NºAsuntos!I17/NºAsuntos!G17)*11)/factor_trimestre," - ")</f>
        <v>2.8888888888888888</v>
      </c>
      <c r="AN17" s="244">
        <f>IF(ISNUMBER('Resol  Asuntos'!D17/NºAsuntos!G17),'Resol  Asuntos'!D17/NºAsuntos!G17," - ")</f>
        <v>0</v>
      </c>
      <c r="AO17" s="245">
        <f>IF(ISNUMBER((NºAsuntos!C17+NºAsuntos!E17)/NºAsuntos!G17),(NºAsuntos!C17+NºAsuntos!E17)/NºAsuntos!G17," - ")</f>
        <v>1.962962962962963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403</v>
      </c>
      <c r="G18" s="866">
        <f>SUBTOTAL(9,G15:G17)</f>
        <v>436</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364</v>
      </c>
      <c r="X18" s="867">
        <f t="shared" si="11"/>
        <v>11</v>
      </c>
      <c r="Y18" s="868">
        <f t="shared" si="11"/>
        <v>375</v>
      </c>
      <c r="Z18" s="868">
        <f t="shared" si="11"/>
        <v>0</v>
      </c>
      <c r="AA18" s="868">
        <f t="shared" si="11"/>
        <v>400</v>
      </c>
      <c r="AB18" s="868">
        <f t="shared" si="11"/>
        <v>61</v>
      </c>
      <c r="AC18" s="868">
        <f t="shared" si="11"/>
        <v>461</v>
      </c>
      <c r="AD18" s="868">
        <f t="shared" si="11"/>
        <v>0</v>
      </c>
      <c r="AE18" s="872">
        <f t="shared" si="11"/>
        <v>0</v>
      </c>
      <c r="AF18" s="865">
        <f t="shared" si="11"/>
        <v>0</v>
      </c>
      <c r="AG18" s="873">
        <f t="shared" si="11"/>
        <v>0</v>
      </c>
      <c r="AH18" s="870">
        <f t="shared" si="11"/>
        <v>0</v>
      </c>
      <c r="AI18" s="865">
        <f t="shared" si="11"/>
        <v>48</v>
      </c>
      <c r="AJ18" s="867">
        <f t="shared" si="11"/>
        <v>0</v>
      </c>
      <c r="AK18" s="870">
        <f t="shared" si="11"/>
        <v>0</v>
      </c>
      <c r="AL18" s="874">
        <f>IF(ISNUMBER(NºAsuntos!G18/NºAsuntos!E18),NºAsuntos!G18/NºAsuntos!E18," - ")</f>
        <v>1.1375</v>
      </c>
      <c r="AM18" s="874">
        <f>IF(ISNUMBER(((NºAsuntos!I18/NºAsuntos!G18)*11)/factor_trimestre),((NºAsuntos!I18/NºAsuntos!G18)*11)/factor_trimestre," - ")</f>
        <v>3.2967032967032974</v>
      </c>
      <c r="AN18" s="875">
        <f>IF(ISNUMBER('Resol  Asuntos'!D18/NºAsuntos!G18),'Resol  Asuntos'!D18/NºAsuntos!G18," - ")</f>
        <v>0.13186813186813187</v>
      </c>
      <c r="AO18" s="876">
        <f>IF(ISNUMBER((NºAsuntos!C18+NºAsuntos!E18)/NºAsuntos!G18),(NºAsuntos!C18+NºAsuntos!E18)/NºAsuntos!G18," - ")</f>
        <v>2.0769230769230771</v>
      </c>
      <c r="AP18" s="877" t="str">
        <f t="shared" si="2"/>
        <v xml:space="preserve"> - </v>
      </c>
      <c r="AQ18" s="877">
        <f>IF(ISNUMBER((H18-W18+K18)/(F18)),(H18-W18+K18)/(F18)," - ")</f>
        <v>-0.90322580645161288</v>
      </c>
      <c r="AR18" s="878">
        <f>IF(ISNUMBER((Datos!P18-Datos!Q18)/(Datos!R18-Datos!P18+Datos!Q18)),(Datos!P18-Datos!Q18)/(Datos!R18-Datos!P18+Datos!Q18)," - ")</f>
        <v>-6.1538461538461542E-2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411</v>
      </c>
      <c r="G19" s="821">
        <f t="shared" si="13"/>
        <v>444</v>
      </c>
      <c r="H19" s="820">
        <f t="shared" si="13"/>
        <v>0</v>
      </c>
      <c r="I19" s="822">
        <f t="shared" si="13"/>
        <v>0</v>
      </c>
      <c r="J19" s="822">
        <f t="shared" si="13"/>
        <v>0</v>
      </c>
      <c r="K19" s="881">
        <f t="shared" si="13"/>
        <v>0</v>
      </c>
      <c r="L19" s="822">
        <f t="shared" si="13"/>
        <v>144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371</v>
      </c>
      <c r="X19" s="821">
        <f t="shared" si="14"/>
        <v>117</v>
      </c>
      <c r="Y19" s="828">
        <f t="shared" si="14"/>
        <v>488</v>
      </c>
      <c r="Z19" s="828">
        <f t="shared" si="14"/>
        <v>0</v>
      </c>
      <c r="AA19" s="828">
        <f t="shared" si="14"/>
        <v>402</v>
      </c>
      <c r="AB19" s="828">
        <f t="shared" si="14"/>
        <v>1392</v>
      </c>
      <c r="AC19" s="828">
        <f t="shared" si="14"/>
        <v>467</v>
      </c>
      <c r="AD19" s="828">
        <f t="shared" si="14"/>
        <v>0</v>
      </c>
      <c r="AE19" s="830">
        <f t="shared" si="14"/>
        <v>0</v>
      </c>
      <c r="AF19" s="831">
        <f t="shared" si="14"/>
        <v>0</v>
      </c>
      <c r="AG19" s="832">
        <f t="shared" si="14"/>
        <v>0</v>
      </c>
      <c r="AH19" s="830">
        <f t="shared" si="14"/>
        <v>0</v>
      </c>
      <c r="AI19" s="820">
        <f t="shared" si="14"/>
        <v>200</v>
      </c>
      <c r="AJ19" s="820">
        <f t="shared" si="14"/>
        <v>0</v>
      </c>
      <c r="AK19" s="830">
        <f t="shared" si="14"/>
        <v>0</v>
      </c>
      <c r="AL19" s="884">
        <f>IF(ISNUMBER(NºAsuntos!G19/NºAsuntos!E19),NºAsuntos!G19/NºAsuntos!E19," - ")</f>
        <v>1.1666666666666667</v>
      </c>
      <c r="AM19" s="885">
        <f>IF(ISNUMBER(((NºAsuntos!I19/NºAsuntos!G19)*11)/factor_trimestre),((NºAsuntos!I19/NºAsuntos!G19)*11)/factor_trimestre," - ")</f>
        <v>3.8914285714285715</v>
      </c>
      <c r="AN19" s="885">
        <f>IF(ISNUMBER('Resol  Asuntos'!D19/NºAsuntos!G19),'Resol  Asuntos'!D19/NºAsuntos!G19," - ")</f>
        <v>0.22857142857142856</v>
      </c>
      <c r="AO19" s="886">
        <f>IF(ISNUMBER((NºAsuntos!C19+NºAsuntos!E19)/NºAsuntos!G19),(NºAsuntos!C19+NºAsuntos!E19)/NºAsuntos!G19," - ")</f>
        <v>2.2845714285714287</v>
      </c>
      <c r="AP19" s="887" t="str">
        <f t="shared" si="2"/>
        <v xml:space="preserve"> - </v>
      </c>
      <c r="AQ19" s="888">
        <f>IF(OR(ISNUMBER(FIND("01",Criterios!A8,1)),ISNUMBER(FIND("02",Criterios!A8,1)),ISNUMBER(FIND("03",Criterios!A8,1)),ISNUMBER(FIND("04",Criterios!A8,1))),(I19-W19+K19)/(F19-K19),(H19-W19+K19)/(F19-K19))</f>
        <v>-0.902676399026764</v>
      </c>
      <c r="AR19" s="889">
        <f>IF(ISNUMBER((Datos!P19-Datos!Q19)/(Datos!R19-Datos!P19+Datos!Q19)),(Datos!P19-Datos!Q19)/(Datos!R19-Datos!P19+Datos!Q19)," - ")</f>
        <v>1.9780219780219779E-2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228.05335632990219</v>
      </c>
      <c r="G21" s="253">
        <f>IF(ISNUMBER(STDEV(G8:G18)),STDEV(G8:G18),"-")</f>
        <v>218.07177717439734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184.91836036478369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66.512154277745864</v>
      </c>
      <c r="AJ21" s="252">
        <f t="shared" si="18"/>
        <v>0</v>
      </c>
      <c r="AK21" s="254">
        <f t="shared" si="18"/>
        <v>0</v>
      </c>
      <c r="AL21" s="249">
        <f t="shared" si="18"/>
        <v>2.340912901783581</v>
      </c>
      <c r="AM21" s="250">
        <f t="shared" si="18"/>
        <v>1.2809599259506257</v>
      </c>
      <c r="AN21" s="250">
        <f t="shared" si="18"/>
        <v>0.355714561838536</v>
      </c>
      <c r="AO21" s="251">
        <f t="shared" si="18"/>
        <v>0.42396963427540962</v>
      </c>
      <c r="AP21" s="291" t="str">
        <f t="shared" si="18"/>
        <v>-</v>
      </c>
      <c r="AQ21" s="292">
        <f t="shared" si="18"/>
        <v>1.995865914639447E-2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KBx9UoGETGYLsFoRVooZi5oEwCQZFKsvxNaO53GZEcDU93mxca0Hei+9FkA/BRcz/eNxOFjoN6yCHYebPLLPw==" saltValue="hDYFgLwoePRbhJ15dU2sD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CORIA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-0.61904761904761907</v>
      </c>
      <c r="E10" s="348" t="str">
        <f>IF(ISNUMBER((Datos!J10-Datos!T10)/Datos!T10),(Datos!J10-Datos!T10)/Datos!T10," - ")</f>
        <v xml:space="preserve"> - </v>
      </c>
      <c r="F10" s="348">
        <f>IF(ISNUMBER((Datos!K10-Datos!U10)/Datos!U10),(Datos!K10-Datos!U10)/Datos!U10," - ")</f>
        <v>2.5</v>
      </c>
      <c r="G10" s="349">
        <f>IF(ISNUMBER((Datos!L10-Datos!V10)/Datos!V10),(Datos!L10-Datos!V10)/Datos!V10," - ")</f>
        <v>-0.89473684210526316</v>
      </c>
      <c r="H10" s="230">
        <f>IF(ISNUMBER((Datos!M10-Datos!W10)/Datos!W10),(Datos!M10-Datos!W10)/Datos!W10," - ")</f>
        <v>2.5</v>
      </c>
      <c r="I10" s="350">
        <f>IF(ISNUMBER((Tasas!C10-Datos!BE10)/Datos!BE10),(Tasas!C10-Datos!BE10)/Datos!BE10," - ")</f>
        <v>-0.96992481203007508</v>
      </c>
      <c r="J10" s="349">
        <f>IF(ISNUMBER((Tasas!D10-Datos!BF10)/Datos!BF10),(Tasas!D10-Datos!BF10)/Datos!BF10," - ")</f>
        <v>0</v>
      </c>
      <c r="K10" s="351">
        <f>IF(ISNUMBER((Tasas!E10-Datos!BG10)/Datos!BG10),(Tasas!E10-Datos!BG10)/Datos!BG10," - ")</f>
        <v>-0.87755102040816324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0.51041666666666663</v>
      </c>
      <c r="I12" s="350">
        <f>IF(ISNUMBER((Tasas!C12-Datos!BE12)/Datos!BE12),(Tasas!C12-Datos!BE12)/Datos!BE12," - ")</f>
        <v>-0.40899049641087859</v>
      </c>
      <c r="J12" s="349">
        <f>IF(ISNUMBER((Tasas!D12-Datos!BF12)/Datos!BF12),(Tasas!D12-Datos!BF12)/Datos!BF12," - ")</f>
        <v>-0.25987263184843828</v>
      </c>
      <c r="K12" s="351">
        <f>IF(ISNUMBER((Tasas!E12-Datos!BG12)/Datos!BG12),(Tasas!E12-Datos!BG12)/Datos!BG12," - ")</f>
        <v>-0.34366079765239427</v>
      </c>
      <c r="M12" t="e">
        <f>IF(Monitorios="SI",Datos!CE12,0)</f>
        <v>#REF!</v>
      </c>
      <c r="N12" t="e">
        <f>IF(Monitorios="SI",Datos!CF12,0)</f>
        <v>#REF!</v>
      </c>
      <c r="O12" t="e">
        <f>IF(Monitorios="SI",Datos!CG12,0)</f>
        <v>#REF!</v>
      </c>
      <c r="P12" t="e">
        <f>IF(Monitorios="SI",Datos!CH12,0)</f>
        <v>#REF!</v>
      </c>
      <c r="Q12">
        <f>IF(J_V="SI",0,Datos!AG12)</f>
        <v>65</v>
      </c>
      <c r="R12">
        <f>IF(J_V="SI",0,Datos!AH12)</f>
        <v>30</v>
      </c>
      <c r="S12">
        <f>IF(J_V="SI",0,Datos!AI12)</f>
        <v>43</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0.55102040816326525</v>
      </c>
      <c r="I13" s="357">
        <f>IF(ISNUMBER((Tasas!C13-Datos!BE13)/Datos!BE13),(Tasas!C13-Datos!BE13)/Datos!BE13," - ")</f>
        <v>-0.42573093436924964</v>
      </c>
      <c r="J13" s="355">
        <f>IF(ISNUMBER((Tasas!D13-Datos!BF13)/Datos!BF13),(Tasas!D13-Datos!BF13)/Datos!BF13," - ")</f>
        <v>-0.24219550834032244</v>
      </c>
      <c r="K13" s="358">
        <f>IF(ISNUMBER((Tasas!E13-Datos!BG13)/Datos!BG13),(Tasas!E13-Datos!BG13)/Datos!BG13," - ")</f>
        <v>-0.35522065346845044</v>
      </c>
      <c r="M13" t="e">
        <f>IF(Monitorios="SI",Datos!CE13,0)</f>
        <v>#REF!</v>
      </c>
      <c r="N13" t="e">
        <f>IF(Monitorios="SI",Datos!CF13,0)</f>
        <v>#REF!</v>
      </c>
      <c r="O13" t="e">
        <f>IF(Monitorios="SI",Datos!CG13,0)</f>
        <v>#REF!</v>
      </c>
      <c r="P13" t="e">
        <f>IF(Monitorios="SI",Datos!CH13,0)</f>
        <v>#REF!</v>
      </c>
      <c r="Q13">
        <f>IF(J_V="SI",0,Datos!AG13)</f>
        <v>65</v>
      </c>
      <c r="R13">
        <f>IF(J_V="SI",0,Datos!AH13)</f>
        <v>30</v>
      </c>
      <c r="S13">
        <f>IF(J_V="SI",0,Datos!AI13)</f>
        <v>43</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0.38596491228070173</v>
      </c>
      <c r="E16" s="348">
        <f>IF(ISNUMBER(
   IF(D_I="SI",(Datos!J16-Datos!T16)/Datos!T16,(Datos!J16+Datos!AD16-(Datos!T16+Datos!AL16))/(Datos!T16+Datos!AL16))
     ),IF(D_I="SI",(Datos!J16-Datos!T16)/Datos!T16,(Datos!J16+Datos!AD16-(Datos!T16+Datos!AL16))/(Datos!T16+Datos!AL16))," - ")</f>
        <v>1.65016501650165E-2</v>
      </c>
      <c r="F16" s="348">
        <f>IF(ISNUMBER(
   IF(D_I="SI",(Datos!K16-Datos!U16)/Datos!U16,(Datos!K16+Datos!AE16-(Datos!U16+Datos!AM16))/(Datos!U16+Datos!AM16))
     ),IF(D_I="SI",(Datos!K16-Datos!U16)/Datos!U16,(Datos!K16+Datos!AE16-(Datos!U16+Datos!AM16))/(Datos!U16+Datos!AM16))," - ")</f>
        <v>5.3124999999999999E-2</v>
      </c>
      <c r="G16" s="349">
        <f>IF(ISNUMBER(
   IF(D_I="SI",(Datos!L16-Datos!V16)/Datos!V16,(Datos!L16+Datos!AF16-(Datos!V16+Datos!AN16))/(Datos!V16+Datos!AN16))
     ),IF(D_I="SI",(Datos!L16-Datos!V16)/Datos!V16,(Datos!L16+Datos!AF16-(Datos!V16+Datos!AN16))/(Datos!V16+Datos!AN16))," - ")</f>
        <v>-6.7331670822942641E-2</v>
      </c>
      <c r="H16" s="230">
        <f>IF(ISNUMBER((Datos!M16-Datos!W16)/Datos!W16),(Datos!M16-Datos!W16)/Datos!W16," - ")</f>
        <v>0.29729729729729731</v>
      </c>
      <c r="I16" s="350">
        <f>IF(ISNUMBER((Tasas!C16-Datos!BE16)/Datos!BE16),(Tasas!C16-Datos!BE16)/Datos!BE16," - ")</f>
        <v>-0.11438022155294268</v>
      </c>
      <c r="J16" s="349">
        <f>IF(ISNUMBER((Tasas!D16-Datos!BF16)/Datos!BF16),(Tasas!D16-Datos!BF16)/Datos!BF16," - ")</f>
        <v>0.23185500040099447</v>
      </c>
      <c r="K16" s="351">
        <f>IF(ISNUMBER((Tasas!E16-Datos!BG16)/Datos!BG16),(Tasas!E16-Datos!BG16)/Datos!BG16," - ")</f>
        <v>0.13526716324512006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-0.48101265822784811</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0.6875</v>
      </c>
      <c r="G17" s="349">
        <f>IF(ISNUMBER(
   IF(D_I="SI",(Datos!L17-Datos!V17)/Datos!V17,(Datos!L17+Datos!AF17-(Datos!V17+Datos!AN17))/(Datos!V17+Datos!AN17))
     ),IF(D_I="SI",(Datos!L17-Datos!V17)/Datos!V17,(Datos!L17+Datos!AF17-(Datos!V17+Datos!AN17))/(Datos!V17+Datos!AN17))," - ")</f>
        <v>-0.63380281690140849</v>
      </c>
      <c r="H17" s="230" t="str">
        <f>IF(ISNUMBER((Datos!M17-Datos!W17)/Datos!W17),(Datos!M17-Datos!W17)/Datos!W17," - ")</f>
        <v xml:space="preserve"> - </v>
      </c>
      <c r="I17" s="350">
        <f>IF(ISNUMBER((Tasas!C17-Datos!BE17)/Datos!BE17),(Tasas!C17-Datos!BE17)/Datos!BE17," - ")</f>
        <v>-0.78299426186750132</v>
      </c>
      <c r="J17" s="349" t="str">
        <f>IF(ISNUMBER((Tasas!D17-Datos!BF17)/Datos!BF17),(Tasas!D17-Datos!BF17)/Datos!BF17," - ")</f>
        <v xml:space="preserve"> - </v>
      </c>
      <c r="K17" s="351">
        <f>IF(ISNUMBER((Tasas!E17-Datos!BG17)/Datos!BG17),(Tasas!E17-Datos!BG17)/Datos!BG17," - ")</f>
        <v>-0.6389953171562367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0.19780219780219779</v>
      </c>
      <c r="E18" s="354">
        <f>IF(ISNUMBER(
   IF(D_I="SI",(Datos!J18-Datos!T18)/Datos!T18,(Datos!J18+Datos!AD18-(Datos!T18+Datos!AL18))/(Datos!T18+Datos!AL18))
     ),IF(D_I="SI",(Datos!J18-Datos!T18)/Datos!T18,(Datos!J18+Datos!AD18-(Datos!T18+Datos!AL18))/(Datos!T18+Datos!AL18))," - ")</f>
        <v>2.8938906752411574E-2</v>
      </c>
      <c r="F18" s="354">
        <f>IF(ISNUMBER(
   IF(D_I="SI",(Datos!K18-Datos!U18)/Datos!U18,(Datos!K18+Datos!AE18-(Datos!U18+Datos!AM18))/(Datos!U18+Datos!AM18))
     ),IF(D_I="SI",(Datos!K18-Datos!U18)/Datos!U18,(Datos!K18+Datos!AE18-(Datos!U18+Datos!AM18))/(Datos!U18+Datos!AM18))," - ")</f>
        <v>8.3333333333333329E-2</v>
      </c>
      <c r="G18" s="355">
        <f>IF(ISNUMBER(
   IF(D_I="SI",(Datos!L18-Datos!V18)/Datos!V18,(Datos!L18+Datos!AF18-(Datos!V18+Datos!AN18))/(Datos!V18+Datos!AN18))
     ),IF(D_I="SI",(Datos!L18-Datos!V18)/Datos!V18,(Datos!L18+Datos!AF18-(Datos!V18+Datos!AN18))/(Datos!V18+Datos!AN18))," - ")</f>
        <v>-0.15254237288135594</v>
      </c>
      <c r="H18" s="356">
        <f>IF(ISNUMBER((Datos!M18-Datos!W18)/Datos!W18),(Datos!M18-Datos!W18)/Datos!W18," - ")</f>
        <v>0.29729729729729731</v>
      </c>
      <c r="I18" s="357">
        <f>IF(ISNUMBER((Tasas!C18-Datos!BE18)/Datos!BE18),(Tasas!C18-Datos!BE18)/Datos!BE18," - ")</f>
        <v>-0.21773142112125152</v>
      </c>
      <c r="J18" s="355">
        <f>IF(ISNUMBER((Tasas!D18-Datos!BF18)/Datos!BF18),(Tasas!D18-Datos!BF18)/Datos!BF18," - ")</f>
        <v>0.19750519750519757</v>
      </c>
      <c r="K18" s="358">
        <f>IF(ISNUMBER((Tasas!E18-Datos!BG18)/Datos!BG18),(Tasas!E18-Datos!BG18)/Datos!BG18," - ")</f>
        <v>3.3846153846153831E-2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2.3770491803278688E-2</v>
      </c>
      <c r="E19" s="363">
        <f>IF(ISNUMBER(
   IF(J_V="SI",(Datos!J19-Datos!T19)/Datos!T19,(Datos!J19+Datos!Z19-(Datos!T19+Datos!AH19))/(Datos!T19+Datos!AH19))
     ),IF(J_V="SI",(Datos!J19-Datos!T19)/Datos!T19,(Datos!J19+Datos!Z19-(Datos!T19+Datos!AH19))/(Datos!T19+Datos!AH19))," - ")</f>
        <v>0.12612612612612611</v>
      </c>
      <c r="F19" s="363">
        <f>IF(ISNUMBER(
   IF(J_V="SI",(Datos!K19-Datos!U19)/Datos!U19,(Datos!K19+Datos!AA19-(Datos!U19+Datos!AI19))/(Datos!U19+Datos!AI19))
     ),IF(J_V="SI",(Datos!K19-Datos!U19)/Datos!U19,(Datos!K19+Datos!AA19-(Datos!U19+Datos!AI19))/(Datos!U19+Datos!AI19))," - ")</f>
        <v>0.33181126331811261</v>
      </c>
      <c r="G19" s="364">
        <f>IF(ISNUMBER(
   IF(J_V="SI",(Datos!L19-Datos!V19)/Datos!V19,(Datos!L19+Datos!AB19-(Datos!V19+Datos!AJ19))/(Datos!V19+Datos!AJ19))
     ),IF(J_V="SI",(Datos!L19-Datos!V19)/Datos!V19,(Datos!L19+Datos!AB19-(Datos!V19+Datos!AJ19))/(Datos!V19+Datos!AJ19))," - ")</f>
        <v>-0.11050156739811912</v>
      </c>
      <c r="H19" s="365">
        <f>IF(ISNUMBER((Datos!M19-Datos!W19)/Datos!W19),(Datos!M19-Datos!W19)/Datos!W19," - ")</f>
        <v>0.48148148148148145</v>
      </c>
      <c r="I19" s="362">
        <f>IF(ISNUMBER((Tasas!C19-Datos!BE19)/Datos!BE19),(Tasas!C19-Datos!BE19)/Datos!BE19," - ")</f>
        <v>-0.33211374832064483</v>
      </c>
      <c r="J19" s="363">
        <f>IF(ISNUMBER((Tasas!D19-Datos!BF19)/Datos!BF19),(Tasas!D19-Datos!BF19)/Datos!BF19," - ")</f>
        <v>-7.8702892199824695E-2</v>
      </c>
      <c r="K19" s="364">
        <f>IF(ISNUMBER((Tasas!E19-Datos!BG19)/Datos!BG19),(Tasas!E19-Datos!BG19)/Datos!BG19," - ")</f>
        <v>-0.20415512801090743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0.49532753351317726</v>
      </c>
      <c r="E21" s="278">
        <f t="shared" si="1"/>
        <v>0.27562773603061852</v>
      </c>
      <c r="F21" s="278">
        <f t="shared" si="1"/>
        <v>1.1503982223032476</v>
      </c>
      <c r="G21" s="279">
        <f t="shared" si="1"/>
        <v>0.39404954755964022</v>
      </c>
      <c r="H21" s="285">
        <f t="shared" si="1"/>
        <v>0.94026594407275998</v>
      </c>
      <c r="I21" s="277">
        <f t="shared" si="1"/>
        <v>0.32924719677085101</v>
      </c>
      <c r="J21" s="278">
        <f t="shared" si="1"/>
        <v>0.23339890976736605</v>
      </c>
      <c r="K21" s="279">
        <f t="shared" si="1"/>
        <v>0.38580760664715991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j9T4HQx5fIdbCxVK34R7N3023G9nM2sDeBWVFe4CB4DGU4MeooPdGho7kJMVGsp5ftlIu3U6sVwYQRzxbzUWw==" saltValue="zzBGUB5KoNUyTHY1K/DRR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